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/>
  <mc:AlternateContent xmlns:mc="http://schemas.openxmlformats.org/markup-compatibility/2006">
    <mc:Choice Requires="x15">
      <x15ac:absPath xmlns:x15ac="http://schemas.microsoft.com/office/spreadsheetml/2010/11/ac" url="G:\0. 임선영컴퓨터\7. 예산\2019년 예산\2019년 당초예산\"/>
    </mc:Choice>
  </mc:AlternateContent>
  <xr:revisionPtr revIDLastSave="0" documentId="13_ncr:1_{FE0C9590-B0EA-43EE-A7B1-72F9195BC688}" xr6:coauthVersionLast="36" xr6:coauthVersionMax="36" xr10:uidLastSave="{00000000-0000-0000-0000-000000000000}"/>
  <bookViews>
    <workbookView xWindow="0" yWindow="0" windowWidth="28800" windowHeight="12285" tabRatio="830" firstSheet="4" activeTab="8" xr2:uid="{00000000-000D-0000-FFFF-FFFF00000000}"/>
  </bookViews>
  <sheets>
    <sheet name="표지" sheetId="34" r:id="rId1"/>
    <sheet name="목차" sheetId="43" r:id="rId2"/>
    <sheet name="간지1(예산총칙)" sheetId="36" r:id="rId3"/>
    <sheet name="예산총칙" sheetId="37" r:id="rId4"/>
    <sheet name="간지2(세입세출예산안)" sheetId="40" r:id="rId5"/>
    <sheet name="세입예산규모1" sheetId="28" r:id="rId6"/>
    <sheet name="시설별예산총괄표2" sheetId="30" r:id="rId7"/>
    <sheet name="세입예산총괄표3" sheetId="29" r:id="rId8"/>
    <sheet name="세출예산총괄표4" sheetId="31" r:id="rId9"/>
    <sheet name="세입세출요약총괄표5" sheetId="32" r:id="rId10"/>
    <sheet name="세입세출세부총괄표6" sheetId="38" r:id="rId11"/>
    <sheet name="간지3(세입예산 사업내역서)" sheetId="27" r:id="rId12"/>
    <sheet name="예산세입(사무국)" sheetId="2" r:id="rId13"/>
    <sheet name="예산세입(마두)" sheetId="4" r:id="rId14"/>
    <sheet name="예산세입(진로)" sheetId="6" r:id="rId15"/>
    <sheet name="예산세입(성사)" sheetId="8" r:id="rId16"/>
    <sheet name="예산세입(탄현)" sheetId="10" r:id="rId17"/>
    <sheet name="예산세입(주교)" sheetId="12" r:id="rId18"/>
    <sheet name="예산세입(일산서구)" sheetId="14" r:id="rId19"/>
    <sheet name="예산세입(토당)" sheetId="16" r:id="rId20"/>
    <sheet name="예산세입(상담)" sheetId="18" r:id="rId21"/>
    <sheet name="예산세입(화정)" sheetId="20" r:id="rId22"/>
    <sheet name="예산세입(백마)" sheetId="22" r:id="rId23"/>
    <sheet name="예산세입(능곡)" sheetId="24" r:id="rId24"/>
    <sheet name="간지4(세출예산 사업내역서)" sheetId="44" r:id="rId25"/>
    <sheet name="예산세출(사무국)" sheetId="3" r:id="rId26"/>
    <sheet name="예산세출(마두)" sheetId="5" r:id="rId27"/>
    <sheet name="예산세출(진로)" sheetId="7" r:id="rId28"/>
    <sheet name="예산세출(성사)" sheetId="9" r:id="rId29"/>
    <sheet name="예산세출(탄현)" sheetId="11" r:id="rId30"/>
    <sheet name="예산세출(주교)" sheetId="13" r:id="rId31"/>
    <sheet name="예산세출(일산서구)" sheetId="15" r:id="rId32"/>
    <sheet name="예산세출(토당)" sheetId="17" r:id="rId33"/>
    <sheet name="예산세출(상담)" sheetId="19" r:id="rId34"/>
    <sheet name="예산세출(화정)" sheetId="42" r:id="rId35"/>
    <sheet name="예산세출(백마)" sheetId="23" r:id="rId36"/>
    <sheet name="예산세출(능곡)" sheetId="25" r:id="rId37"/>
  </sheets>
  <externalReferences>
    <externalReference r:id="rId38"/>
    <externalReference r:id="rId39"/>
  </externalReferences>
  <definedNames>
    <definedName name="_xlnm.Print_Area" localSheetId="2">'간지1(예산총칙)'!$A$1:$M$26</definedName>
    <definedName name="_xlnm.Print_Area" localSheetId="4">'간지2(세입세출예산안)'!$A$1:$M$26</definedName>
    <definedName name="_xlnm.Print_Area" localSheetId="11">'간지3(세입예산 사업내역서)'!$A$1:$M$26</definedName>
    <definedName name="_xlnm.Print_Area" localSheetId="24">'간지4(세출예산 사업내역서)'!$A$1:$M$26</definedName>
    <definedName name="_xlnm.Print_Area" localSheetId="1">목차!$A$1:$H$46</definedName>
    <definedName name="_xlnm.Print_Area" localSheetId="10">세입세출세부총괄표6!$A$1:$N$136</definedName>
    <definedName name="_xlnm.Print_Area" localSheetId="9">세입세출요약총괄표5!$A$1:$N$25</definedName>
    <definedName name="_xlnm.Print_Area" localSheetId="5">세입예산규모1!$A$1:$G$10</definedName>
    <definedName name="_xlnm.Print_Area" localSheetId="7">세입예산총괄표3!$A$1:$G$90</definedName>
    <definedName name="_xlnm.Print_Area" localSheetId="8">세출예산총괄표4!$A$1:$G$137</definedName>
    <definedName name="_xlnm.Print_Area" localSheetId="6">시설별예산총괄표2!$A$1:$Q$18</definedName>
    <definedName name="_xlnm.Print_Area" localSheetId="23">'예산세입(능곡)'!$A$1:$S$20</definedName>
    <definedName name="_xlnm.Print_Area" localSheetId="13">'예산세입(마두)'!$A$1:$S$95</definedName>
    <definedName name="_xlnm.Print_Area" localSheetId="22">'예산세입(백마)'!$A$1:$S$26</definedName>
    <definedName name="_xlnm.Print_Area" localSheetId="12">'예산세입(사무국)'!$A$1:$S$28</definedName>
    <definedName name="_xlnm.Print_Area" localSheetId="20">'예산세입(상담)'!$A$1:$S$28</definedName>
    <definedName name="_xlnm.Print_Area" localSheetId="15">'예산세입(성사)'!$A$1:$S$40</definedName>
    <definedName name="_xlnm.Print_Area" localSheetId="18">'예산세입(일산서구)'!$A$1:$S$85</definedName>
    <definedName name="_xlnm.Print_Area" localSheetId="17">'예산세입(주교)'!$A$1:$S$29</definedName>
    <definedName name="_xlnm.Print_Area" localSheetId="14">'예산세입(진로)'!$A$1:$S$34</definedName>
    <definedName name="_xlnm.Print_Area" localSheetId="16">'예산세입(탄현)'!$A$1:$S$54</definedName>
    <definedName name="_xlnm.Print_Area" localSheetId="19">'예산세입(토당)'!$A$1:$S$95</definedName>
    <definedName name="_xlnm.Print_Area" localSheetId="21">'예산세입(화정)'!$A$1:$S$31</definedName>
    <definedName name="_xlnm.Print_Area" localSheetId="36">'예산세출(능곡)'!$A$1:$T$107</definedName>
    <definedName name="_xlnm.Print_Area" localSheetId="26">'예산세출(마두)'!$A$1:$T$327</definedName>
    <definedName name="_xlnm.Print_Area" localSheetId="35">'예산세출(백마)'!$A$1:$T$118</definedName>
    <definedName name="_xlnm.Print_Area" localSheetId="25">'예산세출(사무국)'!$A$1:$T$318</definedName>
    <definedName name="_xlnm.Print_Area" localSheetId="33">'예산세출(상담)'!$A$1:$T$197</definedName>
    <definedName name="_xlnm.Print_Area" localSheetId="28">'예산세출(성사)'!$A$1:$T$286</definedName>
    <definedName name="_xlnm.Print_Area" localSheetId="31">'예산세출(일산서구)'!$A$1:$T$396</definedName>
    <definedName name="_xlnm.Print_Area" localSheetId="30">'예산세출(주교)'!$A$1:$T$86</definedName>
    <definedName name="_xlnm.Print_Area" localSheetId="27">'예산세출(진로)'!$A$1:$T$108</definedName>
    <definedName name="_xlnm.Print_Area" localSheetId="29">'예산세출(탄현)'!$A$1:$T$207</definedName>
    <definedName name="_xlnm.Print_Area" localSheetId="32">'예산세출(토당)'!$A$1:$T$390</definedName>
    <definedName name="_xlnm.Print_Area" localSheetId="34">'예산세출(화정)'!$A$1:$T$179</definedName>
    <definedName name="_xlnm.Print_Area" localSheetId="3">예산총칙!$A$1:$E$110</definedName>
    <definedName name="_xlnm.Print_Area" localSheetId="0">표지!$A$1:$AA$48</definedName>
    <definedName name="_xlnm.Print_Titles" localSheetId="10">세입세출세부총괄표6!$3:$5</definedName>
    <definedName name="_xlnm.Print_Titles" localSheetId="9">세입세출요약총괄표5!$3:$5</definedName>
    <definedName name="_xlnm.Print_Titles" localSheetId="7">세입예산총괄표3!$4:$6</definedName>
    <definedName name="_xlnm.Print_Titles" localSheetId="8">세출예산총괄표4!$4:$6</definedName>
    <definedName name="_xlnm.Print_Titles" localSheetId="6">시설별예산총괄표2!$4:$5</definedName>
    <definedName name="_xlnm.Print_Titles" localSheetId="23">'예산세입(능곡)'!$3:$4</definedName>
    <definedName name="_xlnm.Print_Titles" localSheetId="13">'예산세입(마두)'!$3:$4</definedName>
    <definedName name="_xlnm.Print_Titles" localSheetId="22">'예산세입(백마)'!$3:$4</definedName>
    <definedName name="_xlnm.Print_Titles" localSheetId="12">'예산세입(사무국)'!$3:$4</definedName>
    <definedName name="_xlnm.Print_Titles" localSheetId="20">'예산세입(상담)'!$3:$4</definedName>
    <definedName name="_xlnm.Print_Titles" localSheetId="15">'예산세입(성사)'!$3:$4</definedName>
    <definedName name="_xlnm.Print_Titles" localSheetId="18">'예산세입(일산서구)'!$3:$4</definedName>
    <definedName name="_xlnm.Print_Titles" localSheetId="17">'예산세입(주교)'!$3:$4</definedName>
    <definedName name="_xlnm.Print_Titles" localSheetId="14">'예산세입(진로)'!$3:$4</definedName>
    <definedName name="_xlnm.Print_Titles" localSheetId="16">'예산세입(탄현)'!$3:$4</definedName>
    <definedName name="_xlnm.Print_Titles" localSheetId="19">'예산세입(토당)'!$3:$4</definedName>
    <definedName name="_xlnm.Print_Titles" localSheetId="36">'예산세출(능곡)'!$3:$4</definedName>
    <definedName name="_xlnm.Print_Titles" localSheetId="26">'예산세출(마두)'!$3:$4</definedName>
    <definedName name="_xlnm.Print_Titles" localSheetId="35">'예산세출(백마)'!$3:$4</definedName>
    <definedName name="_xlnm.Print_Titles" localSheetId="25">'예산세출(사무국)'!$3:$4</definedName>
    <definedName name="_xlnm.Print_Titles" localSheetId="33">'예산세출(상담)'!$3:$4</definedName>
    <definedName name="_xlnm.Print_Titles" localSheetId="28">'예산세출(성사)'!$3:$4</definedName>
    <definedName name="_xlnm.Print_Titles" localSheetId="31">'예산세출(일산서구)'!$3:$4</definedName>
    <definedName name="_xlnm.Print_Titles" localSheetId="30">'예산세출(주교)'!$3:$4</definedName>
    <definedName name="_xlnm.Print_Titles" localSheetId="27">'예산세출(진로)'!$3:$4</definedName>
    <definedName name="_xlnm.Print_Titles" localSheetId="29">'예산세출(탄현)'!$3:$4</definedName>
    <definedName name="_xlnm.Print_Titles" localSheetId="32">'예산세출(토당)'!$3:$4</definedName>
    <definedName name="_xlnm.Print_Titles" localSheetId="34">'예산세출(화정)'!$3:$4</definedName>
    <definedName name="은행코드" localSheetId="4">'[1]추산계좌(2분기)'!#REF!</definedName>
    <definedName name="은행코드" localSheetId="24">'[1]추산계좌(2분기)'!#REF!</definedName>
    <definedName name="은행코드" localSheetId="1">'[1]추산계좌(2분기)'!#REF!</definedName>
    <definedName name="은행코드" localSheetId="34">'[1]추산계좌(2분기)'!#REF!</definedName>
    <definedName name="은행코드">'[1]추산계좌(2분기)'!#REF!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2" i="14" l="1"/>
  <c r="Q81" i="14"/>
  <c r="Q80" i="14" s="1"/>
  <c r="P13" i="17" l="1"/>
  <c r="P112" i="3" l="1"/>
  <c r="P37" i="42"/>
  <c r="P37" i="13"/>
  <c r="P37" i="11"/>
  <c r="P37" i="3"/>
  <c r="Q53" i="10" l="1"/>
  <c r="R244" i="3" l="1"/>
  <c r="D83" i="31" l="1"/>
  <c r="E9" i="30" l="1"/>
  <c r="E10" i="30"/>
  <c r="E11" i="30"/>
  <c r="E12" i="30"/>
  <c r="E13" i="30"/>
  <c r="E14" i="30"/>
  <c r="E15" i="30"/>
  <c r="E16" i="30"/>
  <c r="E17" i="30"/>
  <c r="E18" i="30"/>
  <c r="E8" i="30"/>
  <c r="E7" i="30"/>
  <c r="D102" i="38"/>
  <c r="P260" i="9" l="1"/>
  <c r="P259" i="9" s="1"/>
  <c r="R24" i="9"/>
  <c r="P89" i="9"/>
  <c r="P88" i="9" s="1"/>
  <c r="Q88" i="9" s="1"/>
  <c r="S88" i="9" s="1"/>
  <c r="P87" i="9"/>
  <c r="P86" i="9" s="1"/>
  <c r="Q86" i="9" s="1"/>
  <c r="S86" i="9" s="1"/>
  <c r="P84" i="9"/>
  <c r="P83" i="9" s="1"/>
  <c r="Q82" i="9" s="1"/>
  <c r="S82" i="9" s="1"/>
  <c r="S83" i="9"/>
  <c r="Q258" i="9" l="1"/>
  <c r="S258" i="9" s="1"/>
  <c r="Q259" i="9"/>
  <c r="S259" i="9" s="1"/>
  <c r="Q85" i="9"/>
  <c r="S85" i="9" s="1"/>
  <c r="R262" i="9"/>
  <c r="R261" i="9" s="1"/>
  <c r="R95" i="9"/>
  <c r="P268" i="9"/>
  <c r="P266" i="9"/>
  <c r="P265" i="9"/>
  <c r="R241" i="9"/>
  <c r="P257" i="9"/>
  <c r="P256" i="9" s="1"/>
  <c r="Q256" i="9" s="1"/>
  <c r="S256" i="9" s="1"/>
  <c r="P255" i="9"/>
  <c r="P254" i="9" s="1"/>
  <c r="P250" i="9"/>
  <c r="P249" i="9"/>
  <c r="P246" i="9"/>
  <c r="P245" i="9" s="1"/>
  <c r="Q245" i="9" s="1"/>
  <c r="S245" i="9" s="1"/>
  <c r="X177" i="3"/>
  <c r="O55" i="14"/>
  <c r="P263" i="9" l="1"/>
  <c r="Q263" i="9" s="1"/>
  <c r="Q254" i="9"/>
  <c r="S254" i="9" s="1"/>
  <c r="Q253" i="9"/>
  <c r="S253" i="9" s="1"/>
  <c r="P248" i="9"/>
  <c r="Q248" i="9" s="1"/>
  <c r="S248" i="9" s="1"/>
  <c r="Q244" i="9"/>
  <c r="S244" i="9" s="1"/>
  <c r="Q95" i="9" l="1"/>
  <c r="S95" i="9" s="1"/>
  <c r="T95" i="9" s="1"/>
  <c r="S96" i="9"/>
  <c r="T96" i="9" s="1"/>
  <c r="S263" i="9"/>
  <c r="Q262" i="9"/>
  <c r="Q261" i="9" s="1"/>
  <c r="Q247" i="9"/>
  <c r="S247" i="9" s="1"/>
  <c r="G109" i="17"/>
  <c r="P109" i="17"/>
  <c r="P17" i="11"/>
  <c r="P16" i="11"/>
  <c r="AC16" i="11"/>
  <c r="V29" i="11"/>
  <c r="V25" i="11"/>
  <c r="P21" i="11"/>
  <c r="P26" i="11"/>
  <c r="P34" i="9"/>
  <c r="P33" i="9"/>
  <c r="P249" i="3"/>
  <c r="O62" i="14"/>
  <c r="V11" i="4"/>
  <c r="S261" i="9" l="1"/>
  <c r="B95" i="31"/>
  <c r="S262" i="9"/>
  <c r="P32" i="9"/>
  <c r="Q32" i="9" s="1"/>
  <c r="S32" i="9" s="1"/>
  <c r="I94" i="38" l="1"/>
  <c r="M94" i="38" s="1"/>
  <c r="F95" i="31"/>
  <c r="R161" i="42"/>
  <c r="P174" i="42"/>
  <c r="P173" i="42"/>
  <c r="V169" i="42"/>
  <c r="P170" i="42"/>
  <c r="P169" i="42"/>
  <c r="P168" i="42"/>
  <c r="P167" i="42"/>
  <c r="P222" i="17"/>
  <c r="P221" i="17" s="1"/>
  <c r="Q221" i="17" s="1"/>
  <c r="S221" i="17" s="1"/>
  <c r="R361" i="15"/>
  <c r="P380" i="15"/>
  <c r="P379" i="15"/>
  <c r="P378" i="15"/>
  <c r="P371" i="15"/>
  <c r="P370" i="15" s="1"/>
  <c r="V238" i="15"/>
  <c r="V236" i="15"/>
  <c r="P360" i="15"/>
  <c r="P359" i="15"/>
  <c r="P279" i="9"/>
  <c r="P277" i="9" s="1"/>
  <c r="R104" i="5"/>
  <c r="P106" i="5"/>
  <c r="P105" i="5" s="1"/>
  <c r="Q105" i="5" s="1"/>
  <c r="P272" i="5"/>
  <c r="P358" i="15" l="1"/>
  <c r="Q358" i="15" s="1"/>
  <c r="S358" i="15" s="1"/>
  <c r="Q370" i="15"/>
  <c r="S370" i="15" s="1"/>
  <c r="P172" i="42"/>
  <c r="Q171" i="42" s="1"/>
  <c r="S105" i="5"/>
  <c r="Q104" i="5"/>
  <c r="S104" i="5" s="1"/>
  <c r="P278" i="9"/>
  <c r="Q172" i="42"/>
  <c r="S172" i="42" s="1"/>
  <c r="S171" i="42"/>
  <c r="P166" i="42"/>
  <c r="P377" i="15"/>
  <c r="J40" i="31"/>
  <c r="J110" i="37"/>
  <c r="K110" i="37"/>
  <c r="L94" i="37"/>
  <c r="L97" i="37"/>
  <c r="L98" i="37"/>
  <c r="L99" i="37"/>
  <c r="L100" i="37"/>
  <c r="L101" i="37"/>
  <c r="L102" i="37"/>
  <c r="L103" i="37"/>
  <c r="L104" i="37"/>
  <c r="Q377" i="15" l="1"/>
  <c r="S377" i="15" s="1"/>
  <c r="L110" i="37"/>
  <c r="Q166" i="42"/>
  <c r="S166" i="42" s="1"/>
  <c r="Q165" i="42"/>
  <c r="S165" i="42" s="1"/>
  <c r="O7" i="30"/>
  <c r="L7" i="30"/>
  <c r="K8" i="30"/>
  <c r="K7" i="30"/>
  <c r="I132" i="38"/>
  <c r="I96" i="38"/>
  <c r="I90" i="38"/>
  <c r="I85" i="38"/>
  <c r="I82" i="38"/>
  <c r="W209" i="17" l="1"/>
  <c r="V112" i="11"/>
  <c r="V77" i="7"/>
  <c r="X61" i="7"/>
  <c r="Y58" i="7"/>
  <c r="W28" i="7"/>
  <c r="P77" i="25"/>
  <c r="P204" i="3"/>
  <c r="P174" i="11" l="1"/>
  <c r="P58" i="11" l="1"/>
  <c r="P57" i="11"/>
  <c r="P305" i="5" l="1"/>
  <c r="P153" i="5"/>
  <c r="P161" i="19" l="1"/>
  <c r="P111" i="19"/>
  <c r="P342" i="17"/>
  <c r="P115" i="5" l="1"/>
  <c r="P114" i="5"/>
  <c r="P113" i="5"/>
  <c r="P84" i="5"/>
  <c r="P83" i="5"/>
  <c r="P82" i="5"/>
  <c r="P81" i="5"/>
  <c r="P80" i="5"/>
  <c r="P79" i="5"/>
  <c r="P78" i="5"/>
  <c r="P77" i="5"/>
  <c r="P112" i="5" l="1"/>
  <c r="P60" i="15"/>
  <c r="P59" i="15"/>
  <c r="P58" i="15"/>
  <c r="P311" i="15"/>
  <c r="P310" i="15"/>
  <c r="P309" i="15"/>
  <c r="P308" i="15"/>
  <c r="P307" i="15" l="1"/>
  <c r="P130" i="17" l="1"/>
  <c r="P153" i="3" l="1"/>
  <c r="P120" i="5"/>
  <c r="P119" i="5"/>
  <c r="P267" i="5"/>
  <c r="P266" i="5"/>
  <c r="P118" i="5" l="1"/>
  <c r="Q118" i="5" s="1"/>
  <c r="P265" i="5"/>
  <c r="P251" i="5"/>
  <c r="R22" i="25" l="1"/>
  <c r="D34" i="31" s="1"/>
  <c r="R8" i="23" l="1"/>
  <c r="S23" i="23"/>
  <c r="T23" i="23" s="1"/>
  <c r="S20" i="23"/>
  <c r="T20" i="23" s="1"/>
  <c r="S10" i="23"/>
  <c r="T10" i="23" s="1"/>
  <c r="R85" i="42"/>
  <c r="R103" i="42"/>
  <c r="R117" i="42"/>
  <c r="R138" i="42"/>
  <c r="R30" i="42" l="1"/>
  <c r="R181" i="19" l="1"/>
  <c r="R136" i="19"/>
  <c r="R135" i="19" s="1"/>
  <c r="S179" i="19"/>
  <c r="R355" i="17"/>
  <c r="R284" i="17"/>
  <c r="R255" i="17"/>
  <c r="R211" i="17"/>
  <c r="Q254" i="17"/>
  <c r="S254" i="17" s="1"/>
  <c r="T254" i="17" s="1"/>
  <c r="Q253" i="17"/>
  <c r="S253" i="17" s="1"/>
  <c r="T253" i="17" s="1"/>
  <c r="Q283" i="17"/>
  <c r="S283" i="17" s="1"/>
  <c r="T283" i="17" s="1"/>
  <c r="Q363" i="17"/>
  <c r="S363" i="17" s="1"/>
  <c r="T363" i="17" s="1"/>
  <c r="Q354" i="17"/>
  <c r="S354" i="17" s="1"/>
  <c r="T354" i="17" s="1"/>
  <c r="Q251" i="17"/>
  <c r="S251" i="17" s="1"/>
  <c r="T251" i="17" s="1"/>
  <c r="Q252" i="17"/>
  <c r="S252" i="17" s="1"/>
  <c r="T252" i="17" s="1"/>
  <c r="R110" i="17"/>
  <c r="R107" i="17"/>
  <c r="R91" i="17"/>
  <c r="Q103" i="17"/>
  <c r="S103" i="17" s="1"/>
  <c r="T103" i="17" s="1"/>
  <c r="P102" i="17"/>
  <c r="Q104" i="17"/>
  <c r="S104" i="17" s="1"/>
  <c r="T104" i="17" s="1"/>
  <c r="R16" i="17"/>
  <c r="R8" i="17" s="1"/>
  <c r="R120" i="17"/>
  <c r="R90" i="17"/>
  <c r="R59" i="17"/>
  <c r="R319" i="15"/>
  <c r="R263" i="15"/>
  <c r="R262" i="15" s="1"/>
  <c r="S250" i="15"/>
  <c r="R236" i="15"/>
  <c r="Q249" i="15"/>
  <c r="S249" i="15" s="1"/>
  <c r="T249" i="15" s="1"/>
  <c r="Q248" i="15"/>
  <c r="S248" i="15" s="1"/>
  <c r="T248" i="15" s="1"/>
  <c r="R215" i="15"/>
  <c r="Q235" i="15"/>
  <c r="S235" i="15" s="1"/>
  <c r="T235" i="15" s="1"/>
  <c r="R106" i="15"/>
  <c r="Q214" i="15"/>
  <c r="S214" i="15" s="1"/>
  <c r="T214" i="15" s="1"/>
  <c r="Q213" i="15"/>
  <c r="S213" i="15" s="1"/>
  <c r="T213" i="15" s="1"/>
  <c r="Q212" i="15"/>
  <c r="S212" i="15" s="1"/>
  <c r="T212" i="15" s="1"/>
  <c r="R37" i="15"/>
  <c r="R19" i="15" s="1"/>
  <c r="Q45" i="15"/>
  <c r="S45" i="15" s="1"/>
  <c r="T45" i="15" s="1"/>
  <c r="R8" i="15"/>
  <c r="S12" i="15"/>
  <c r="T12" i="15" s="1"/>
  <c r="R62" i="13"/>
  <c r="R61" i="13" s="1"/>
  <c r="Q69" i="13"/>
  <c r="S69" i="13" s="1"/>
  <c r="T69" i="13" s="1"/>
  <c r="Q68" i="13"/>
  <c r="S68" i="13" s="1"/>
  <c r="T68" i="13" s="1"/>
  <c r="R14" i="13"/>
  <c r="Q20" i="13"/>
  <c r="S20" i="13" s="1"/>
  <c r="T20" i="13" s="1"/>
  <c r="R13" i="13"/>
  <c r="R185" i="11"/>
  <c r="R167" i="11"/>
  <c r="R192" i="11"/>
  <c r="Q200" i="11"/>
  <c r="S200" i="11" s="1"/>
  <c r="T200" i="11" s="1"/>
  <c r="Q199" i="11"/>
  <c r="S199" i="11" s="1"/>
  <c r="T199" i="11" s="1"/>
  <c r="R55" i="11"/>
  <c r="R54" i="11" s="1"/>
  <c r="Q77" i="11"/>
  <c r="S77" i="11" s="1"/>
  <c r="T77" i="11" s="1"/>
  <c r="Q76" i="11"/>
  <c r="S76" i="11" s="1"/>
  <c r="T76" i="11" s="1"/>
  <c r="R78" i="11"/>
  <c r="Q86" i="11"/>
  <c r="S86" i="11" s="1"/>
  <c r="T86" i="11" s="1"/>
  <c r="Q85" i="11"/>
  <c r="S85" i="11" s="1"/>
  <c r="T85" i="11" s="1"/>
  <c r="R103" i="11"/>
  <c r="R52" i="11"/>
  <c r="R23" i="11"/>
  <c r="R8" i="11"/>
  <c r="Q16" i="11"/>
  <c r="S16" i="11" s="1"/>
  <c r="R180" i="9"/>
  <c r="R164" i="9"/>
  <c r="Q179" i="9"/>
  <c r="S179" i="9" s="1"/>
  <c r="T179" i="9" s="1"/>
  <c r="R101" i="9"/>
  <c r="R98" i="9"/>
  <c r="R8" i="9"/>
  <c r="S99" i="9"/>
  <c r="T99" i="9" s="1"/>
  <c r="R269" i="9"/>
  <c r="R240" i="9" s="1"/>
  <c r="R17" i="7"/>
  <c r="R8" i="7"/>
  <c r="S44" i="7"/>
  <c r="T44" i="7" s="1"/>
  <c r="S34" i="7"/>
  <c r="T34" i="7" s="1"/>
  <c r="S31" i="7"/>
  <c r="T31" i="7" s="1"/>
  <c r="R288" i="5"/>
  <c r="R269" i="5"/>
  <c r="R197" i="5"/>
  <c r="R190" i="5"/>
  <c r="R134" i="5"/>
  <c r="Q189" i="5"/>
  <c r="S189" i="5" s="1"/>
  <c r="T189" i="5" s="1"/>
  <c r="R217" i="5"/>
  <c r="Q112" i="5"/>
  <c r="S112" i="5" s="1"/>
  <c r="T112" i="5" s="1"/>
  <c r="R31" i="5"/>
  <c r="S118" i="5"/>
  <c r="T118" i="5" s="1"/>
  <c r="R8" i="5"/>
  <c r="R215" i="3"/>
  <c r="R214" i="3" s="1"/>
  <c r="Q243" i="3"/>
  <c r="S243" i="3" s="1"/>
  <c r="T243" i="3" s="1"/>
  <c r="R318" i="15" l="1"/>
  <c r="R268" i="5"/>
  <c r="R210" i="17"/>
  <c r="R106" i="17"/>
  <c r="Q250" i="17"/>
  <c r="S250" i="17" s="1"/>
  <c r="T250" i="17" s="1"/>
  <c r="R105" i="15"/>
  <c r="Q247" i="15"/>
  <c r="S247" i="15" s="1"/>
  <c r="T247" i="15" s="1"/>
  <c r="Q211" i="15"/>
  <c r="S211" i="15" s="1"/>
  <c r="T211" i="15" s="1"/>
  <c r="Q67" i="13"/>
  <c r="S67" i="13" s="1"/>
  <c r="T67" i="13" s="1"/>
  <c r="Q84" i="11"/>
  <c r="S84" i="11" s="1"/>
  <c r="T84" i="11" s="1"/>
  <c r="R7" i="11"/>
  <c r="Q162" i="9"/>
  <c r="S162" i="9" s="1"/>
  <c r="T162" i="9" s="1"/>
  <c r="Q161" i="9"/>
  <c r="S161" i="9" s="1"/>
  <c r="T161" i="9" s="1"/>
  <c r="Q163" i="9"/>
  <c r="S163" i="9" s="1"/>
  <c r="T163" i="9" s="1"/>
  <c r="Q188" i="5"/>
  <c r="S188" i="5" s="1"/>
  <c r="T188" i="5" s="1"/>
  <c r="Q187" i="5"/>
  <c r="S187" i="5" s="1"/>
  <c r="T187" i="5" s="1"/>
  <c r="Q160" i="9" l="1"/>
  <c r="S160" i="9" s="1"/>
  <c r="T160" i="9" s="1"/>
  <c r="Q159" i="9" l="1"/>
  <c r="S159" i="9" s="1"/>
  <c r="T159" i="9" s="1"/>
  <c r="Q157" i="9"/>
  <c r="S157" i="9" s="1"/>
  <c r="T157" i="9" s="1"/>
  <c r="Q158" i="9"/>
  <c r="S158" i="9" s="1"/>
  <c r="T158" i="9" s="1"/>
  <c r="R159" i="3" l="1"/>
  <c r="Q163" i="3"/>
  <c r="S163" i="3" s="1"/>
  <c r="T163" i="3" s="1"/>
  <c r="R110" i="3"/>
  <c r="R99" i="3"/>
  <c r="R87" i="3"/>
  <c r="R71" i="3"/>
  <c r="R70" i="3" l="1"/>
  <c r="R9" i="3"/>
  <c r="R18" i="3"/>
  <c r="R8" i="3" s="1"/>
  <c r="R10" i="24" l="1"/>
  <c r="S10" i="24" s="1"/>
  <c r="R15" i="24"/>
  <c r="S15" i="24" s="1"/>
  <c r="Q17" i="24"/>
  <c r="R10" i="22"/>
  <c r="S10" i="22" s="1"/>
  <c r="Q8" i="22"/>
  <c r="R15" i="22"/>
  <c r="S15" i="22" s="1"/>
  <c r="Q13" i="22"/>
  <c r="R25" i="22"/>
  <c r="R10" i="20"/>
  <c r="S10" i="20" s="1"/>
  <c r="S13" i="20"/>
  <c r="R13" i="20"/>
  <c r="R17" i="20"/>
  <c r="S17" i="20" s="1"/>
  <c r="Q15" i="20"/>
  <c r="R21" i="20"/>
  <c r="S21" i="20" s="1"/>
  <c r="Q19" i="20"/>
  <c r="R26" i="20"/>
  <c r="S26" i="20" s="1"/>
  <c r="Q24" i="20"/>
  <c r="Q23" i="20" s="1"/>
  <c r="Q28" i="20"/>
  <c r="R17" i="18"/>
  <c r="S17" i="18" s="1"/>
  <c r="Q8" i="18"/>
  <c r="Q93" i="16"/>
  <c r="Q86" i="16"/>
  <c r="R79" i="16"/>
  <c r="S79" i="16" s="1"/>
  <c r="Q77" i="16"/>
  <c r="Q68" i="16"/>
  <c r="Q65" i="16"/>
  <c r="R58" i="16"/>
  <c r="S58" i="16" s="1"/>
  <c r="R62" i="16"/>
  <c r="S62" i="16" s="1"/>
  <c r="P57" i="16"/>
  <c r="R57" i="16" s="1"/>
  <c r="S57" i="16" s="1"/>
  <c r="P58" i="16"/>
  <c r="P59" i="16"/>
  <c r="R59" i="16" s="1"/>
  <c r="S59" i="16" s="1"/>
  <c r="P60" i="16"/>
  <c r="R60" i="16" s="1"/>
  <c r="S60" i="16" s="1"/>
  <c r="P61" i="16"/>
  <c r="R61" i="16" s="1"/>
  <c r="S61" i="16" s="1"/>
  <c r="P62" i="16"/>
  <c r="Q45" i="16"/>
  <c r="Q9" i="14"/>
  <c r="Q8" i="14" s="1"/>
  <c r="R50" i="14"/>
  <c r="R51" i="14"/>
  <c r="R49" i="14"/>
  <c r="R48" i="14"/>
  <c r="Q52" i="14"/>
  <c r="R66" i="14"/>
  <c r="Q59" i="14"/>
  <c r="Q64" i="14"/>
  <c r="Q76" i="14"/>
  <c r="R14" i="12"/>
  <c r="S14" i="12" s="1"/>
  <c r="Q12" i="12"/>
  <c r="R22" i="12"/>
  <c r="S22" i="12" s="1"/>
  <c r="Q20" i="12"/>
  <c r="R36" i="10"/>
  <c r="S36" i="10" s="1"/>
  <c r="R31" i="10"/>
  <c r="S31" i="10" s="1"/>
  <c r="R28" i="10"/>
  <c r="S28" i="10" s="1"/>
  <c r="R10" i="10"/>
  <c r="S10" i="10" s="1"/>
  <c r="Q20" i="8"/>
  <c r="Q22" i="8"/>
  <c r="Q10" i="8"/>
  <c r="Q8" i="8"/>
  <c r="Q25" i="8"/>
  <c r="Q27" i="8"/>
  <c r="Q33" i="8"/>
  <c r="Q39" i="8"/>
  <c r="Q10" i="6"/>
  <c r="Q8" i="6"/>
  <c r="Q28" i="6"/>
  <c r="Q59" i="4"/>
  <c r="R64" i="4"/>
  <c r="S64" i="4" s="1"/>
  <c r="R62" i="4"/>
  <c r="S62" i="4" s="1"/>
  <c r="Q61" i="4"/>
  <c r="Q57" i="4" s="1"/>
  <c r="P61" i="4"/>
  <c r="Q66" i="4"/>
  <c r="Q68" i="4"/>
  <c r="Q94" i="4"/>
  <c r="Q87" i="4"/>
  <c r="R73" i="4"/>
  <c r="S73" i="4" s="1"/>
  <c r="Q72" i="4"/>
  <c r="B6" i="30"/>
  <c r="O69" i="4"/>
  <c r="O63" i="4"/>
  <c r="P102" i="25" l="1"/>
  <c r="P91" i="25"/>
  <c r="P104" i="23" l="1"/>
  <c r="P103" i="23"/>
  <c r="P102" i="23"/>
  <c r="P101" i="23"/>
  <c r="P99" i="23"/>
  <c r="P98" i="23"/>
  <c r="P97" i="23"/>
  <c r="P96" i="23" s="1"/>
  <c r="Q96" i="23" s="1"/>
  <c r="S96" i="23" s="1"/>
  <c r="P91" i="23"/>
  <c r="P90" i="23"/>
  <c r="P89" i="23"/>
  <c r="P88" i="23"/>
  <c r="P87" i="23" s="1"/>
  <c r="P86" i="23"/>
  <c r="P85" i="23"/>
  <c r="P84" i="23"/>
  <c r="P83" i="23"/>
  <c r="P82" i="23" l="1"/>
  <c r="P81" i="23" s="1"/>
  <c r="Q81" i="23" s="1"/>
  <c r="S81" i="23" s="1"/>
  <c r="P96" i="42"/>
  <c r="P91" i="42"/>
  <c r="P137" i="42"/>
  <c r="P160" i="19" l="1"/>
  <c r="P159" i="19"/>
  <c r="P157" i="19"/>
  <c r="P155" i="19"/>
  <c r="P154" i="19"/>
  <c r="P153" i="19"/>
  <c r="P151" i="19"/>
  <c r="P150" i="19"/>
  <c r="P149" i="19"/>
  <c r="P147" i="19"/>
  <c r="P146" i="19"/>
  <c r="P145" i="19"/>
  <c r="P143" i="19"/>
  <c r="P142" i="19"/>
  <c r="P140" i="19"/>
  <c r="P139" i="19"/>
  <c r="P138" i="19"/>
  <c r="P131" i="19"/>
  <c r="P362" i="17" l="1"/>
  <c r="P361" i="17"/>
  <c r="P360" i="17"/>
  <c r="P358" i="17"/>
  <c r="P357" i="17"/>
  <c r="P353" i="17"/>
  <c r="P352" i="17"/>
  <c r="P351" i="17"/>
  <c r="P350" i="17"/>
  <c r="P348" i="17"/>
  <c r="P347" i="17"/>
  <c r="P345" i="17"/>
  <c r="P344" i="17"/>
  <c r="P340" i="17"/>
  <c r="P339" i="17"/>
  <c r="P338" i="17" s="1"/>
  <c r="P337" i="17"/>
  <c r="P335" i="17"/>
  <c r="P333" i="17"/>
  <c r="P332" i="17"/>
  <c r="P331" i="17"/>
  <c r="P330" i="17" s="1"/>
  <c r="P329" i="17"/>
  <c r="P328" i="17"/>
  <c r="P326" i="17"/>
  <c r="P325" i="17"/>
  <c r="P324" i="17"/>
  <c r="P323" i="17"/>
  <c r="P321" i="17"/>
  <c r="P320" i="17"/>
  <c r="P319" i="17"/>
  <c r="P318" i="17"/>
  <c r="P317" i="17"/>
  <c r="P316" i="17"/>
  <c r="P315" i="17"/>
  <c r="P314" i="17"/>
  <c r="P313" i="17"/>
  <c r="P312" i="17"/>
  <c r="P311" i="17"/>
  <c r="P310" i="17"/>
  <c r="P309" i="17"/>
  <c r="P308" i="17"/>
  <c r="P307" i="17"/>
  <c r="P306" i="17"/>
  <c r="P305" i="17"/>
  <c r="P304" i="17"/>
  <c r="P303" i="17"/>
  <c r="P302" i="17"/>
  <c r="P301" i="17"/>
  <c r="P300" i="17"/>
  <c r="P299" i="17"/>
  <c r="P298" i="17"/>
  <c r="P297" i="17"/>
  <c r="P296" i="17"/>
  <c r="P295" i="17"/>
  <c r="P294" i="17"/>
  <c r="P293" i="17"/>
  <c r="P292" i="17"/>
  <c r="P291" i="17"/>
  <c r="P290" i="17"/>
  <c r="P289" i="17"/>
  <c r="P288" i="17"/>
  <c r="P287" i="17"/>
  <c r="P282" i="17"/>
  <c r="G281" i="17"/>
  <c r="P281" i="17" s="1"/>
  <c r="P280" i="17"/>
  <c r="P279" i="17"/>
  <c r="P278" i="17"/>
  <c r="P277" i="17"/>
  <c r="P276" i="17"/>
  <c r="P275" i="17"/>
  <c r="P273" i="17"/>
  <c r="P272" i="17" s="1"/>
  <c r="P271" i="17"/>
  <c r="P270" i="17"/>
  <c r="P269" i="17"/>
  <c r="P267" i="17"/>
  <c r="P266" i="17"/>
  <c r="P265" i="17"/>
  <c r="P264" i="17"/>
  <c r="P263" i="17"/>
  <c r="P262" i="17"/>
  <c r="P261" i="17"/>
  <c r="P260" i="17" s="1"/>
  <c r="P259" i="17"/>
  <c r="P258" i="17"/>
  <c r="P257" i="17"/>
  <c r="P256" i="17" s="1"/>
  <c r="P249" i="17"/>
  <c r="P248" i="17"/>
  <c r="P247" i="17"/>
  <c r="P246" i="17"/>
  <c r="P244" i="17"/>
  <c r="P243" i="17"/>
  <c r="P239" i="17"/>
  <c r="P241" i="17"/>
  <c r="P240" i="17"/>
  <c r="P237" i="17"/>
  <c r="P236" i="17"/>
  <c r="P235" i="17"/>
  <c r="P234" i="17" s="1"/>
  <c r="P233" i="17"/>
  <c r="P232" i="17"/>
  <c r="P231" i="17"/>
  <c r="P230" i="17"/>
  <c r="P229" i="17"/>
  <c r="P228" i="17" s="1"/>
  <c r="P227" i="17"/>
  <c r="P226" i="17"/>
  <c r="P225" i="17"/>
  <c r="P224" i="17"/>
  <c r="P223" i="17" s="1"/>
  <c r="P220" i="17"/>
  <c r="P219" i="17"/>
  <c r="P218" i="17"/>
  <c r="P217" i="17"/>
  <c r="P216" i="17"/>
  <c r="P215" i="17"/>
  <c r="P214" i="17"/>
  <c r="P213" i="17"/>
  <c r="P212" i="17" s="1"/>
  <c r="P101" i="17"/>
  <c r="P99" i="17"/>
  <c r="P98" i="17"/>
  <c r="P96" i="17"/>
  <c r="P95" i="17"/>
  <c r="P94" i="17"/>
  <c r="P93" i="17"/>
  <c r="P245" i="17" l="1"/>
  <c r="P238" i="17"/>
  <c r="Q211" i="17" s="1"/>
  <c r="P242" i="17"/>
  <c r="Q242" i="17" s="1"/>
  <c r="S242" i="17" s="1"/>
  <c r="T242" i="17" s="1"/>
  <c r="P268" i="17"/>
  <c r="Q268" i="17" s="1"/>
  <c r="S268" i="17" s="1"/>
  <c r="T268" i="17" s="1"/>
  <c r="P274" i="17"/>
  <c r="P286" i="17"/>
  <c r="P343" i="17"/>
  <c r="Q343" i="17" s="1"/>
  <c r="S343" i="17" s="1"/>
  <c r="T343" i="17" s="1"/>
  <c r="P356" i="17"/>
  <c r="Q356" i="17" s="1"/>
  <c r="S356" i="17" s="1"/>
  <c r="T356" i="17" s="1"/>
  <c r="P349" i="17"/>
  <c r="Q349" i="17" s="1"/>
  <c r="S349" i="17" s="1"/>
  <c r="T349" i="17" s="1"/>
  <c r="P359" i="17"/>
  <c r="Q359" i="17" s="1"/>
  <c r="S359" i="17" s="1"/>
  <c r="P327" i="17"/>
  <c r="P346" i="17"/>
  <c r="Q346" i="17" s="1"/>
  <c r="S346" i="17" s="1"/>
  <c r="T346" i="17" s="1"/>
  <c r="Q338" i="17"/>
  <c r="S338" i="17" s="1"/>
  <c r="T338" i="17" s="1"/>
  <c r="Q234" i="17"/>
  <c r="S234" i="17" s="1"/>
  <c r="T234" i="17" s="1"/>
  <c r="P322" i="17"/>
  <c r="Q256" i="17"/>
  <c r="S256" i="17" s="1"/>
  <c r="T256" i="17" s="1"/>
  <c r="Q260" i="17"/>
  <c r="S260" i="17" s="1"/>
  <c r="T260" i="17" s="1"/>
  <c r="Q245" i="17"/>
  <c r="S245" i="17" s="1"/>
  <c r="T245" i="17" s="1"/>
  <c r="P100" i="17"/>
  <c r="Q100" i="17" s="1"/>
  <c r="S100" i="17" s="1"/>
  <c r="P97" i="17"/>
  <c r="Q97" i="17" s="1"/>
  <c r="S97" i="17" s="1"/>
  <c r="Q212" i="17"/>
  <c r="S212" i="17" s="1"/>
  <c r="T212" i="17" s="1"/>
  <c r="Q223" i="17"/>
  <c r="S223" i="17" s="1"/>
  <c r="T223" i="17" s="1"/>
  <c r="Q228" i="17"/>
  <c r="S228" i="17" s="1"/>
  <c r="T228" i="17" s="1"/>
  <c r="P92" i="17"/>
  <c r="Q92" i="17" s="1"/>
  <c r="S92" i="17" s="1"/>
  <c r="T92" i="17" s="1"/>
  <c r="Q238" i="17" l="1"/>
  <c r="S238" i="17" s="1"/>
  <c r="T238" i="17" s="1"/>
  <c r="P285" i="17"/>
  <c r="Q285" i="17"/>
  <c r="S285" i="17" s="1"/>
  <c r="T285" i="17" s="1"/>
  <c r="P182" i="9"/>
  <c r="P391" i="15" l="1"/>
  <c r="P390" i="15"/>
  <c r="P389" i="15"/>
  <c r="P388" i="15"/>
  <c r="P387" i="15"/>
  <c r="P386" i="15"/>
  <c r="P385" i="15"/>
  <c r="P384" i="15"/>
  <c r="P383" i="15"/>
  <c r="P382" i="15"/>
  <c r="P376" i="15"/>
  <c r="P375" i="15"/>
  <c r="P374" i="15"/>
  <c r="P373" i="15"/>
  <c r="P369" i="15"/>
  <c r="P368" i="15"/>
  <c r="P367" i="15"/>
  <c r="P365" i="15"/>
  <c r="P364" i="15"/>
  <c r="P363" i="15"/>
  <c r="P357" i="15"/>
  <c r="P356" i="15"/>
  <c r="P355" i="15"/>
  <c r="P354" i="15"/>
  <c r="P351" i="15"/>
  <c r="P350" i="15"/>
  <c r="P349" i="15"/>
  <c r="P348" i="15"/>
  <c r="P347" i="15"/>
  <c r="P346" i="15"/>
  <c r="P345" i="15"/>
  <c r="P343" i="15"/>
  <c r="P342" i="15"/>
  <c r="P341" i="15"/>
  <c r="P339" i="15"/>
  <c r="P338" i="15"/>
  <c r="P336" i="15"/>
  <c r="P335" i="15"/>
  <c r="P334" i="15"/>
  <c r="P333" i="15"/>
  <c r="P332" i="15"/>
  <c r="P331" i="15"/>
  <c r="P329" i="15"/>
  <c r="P328" i="15"/>
  <c r="P327" i="15"/>
  <c r="P326" i="15"/>
  <c r="P325" i="15"/>
  <c r="P324" i="15"/>
  <c r="P322" i="15"/>
  <c r="P321" i="15"/>
  <c r="P317" i="15"/>
  <c r="P316" i="15"/>
  <c r="P315" i="15"/>
  <c r="P246" i="15"/>
  <c r="P245" i="15"/>
  <c r="P244" i="15"/>
  <c r="P243" i="15"/>
  <c r="P241" i="15"/>
  <c r="P240" i="15"/>
  <c r="P239" i="15"/>
  <c r="P238" i="15"/>
  <c r="P234" i="15"/>
  <c r="P233" i="15"/>
  <c r="P232" i="15"/>
  <c r="P231" i="15"/>
  <c r="P229" i="15"/>
  <c r="P228" i="15"/>
  <c r="P227" i="15"/>
  <c r="P226" i="15"/>
  <c r="P225" i="15"/>
  <c r="P224" i="15"/>
  <c r="P222" i="15"/>
  <c r="P221" i="15"/>
  <c r="P220" i="15"/>
  <c r="P219" i="15"/>
  <c r="P218" i="15"/>
  <c r="P217" i="15"/>
  <c r="P210" i="15"/>
  <c r="P209" i="15"/>
  <c r="P208" i="15"/>
  <c r="P207" i="15"/>
  <c r="P206" i="15"/>
  <c r="P204" i="15"/>
  <c r="P203" i="15"/>
  <c r="P202" i="15"/>
  <c r="P201" i="15"/>
  <c r="P200" i="15"/>
  <c r="P199" i="15"/>
  <c r="P198" i="15"/>
  <c r="P197" i="15"/>
  <c r="P196" i="15"/>
  <c r="P194" i="15"/>
  <c r="P193" i="15"/>
  <c r="P192" i="15"/>
  <c r="P191" i="15"/>
  <c r="P190" i="15"/>
  <c r="P189" i="15"/>
  <c r="P187" i="15"/>
  <c r="P186" i="15"/>
  <c r="P185" i="15"/>
  <c r="P184" i="15"/>
  <c r="P183" i="15"/>
  <c r="P182" i="15"/>
  <c r="P181" i="15"/>
  <c r="P180" i="15"/>
  <c r="P178" i="15"/>
  <c r="P177" i="15"/>
  <c r="P176" i="15"/>
  <c r="P175" i="15"/>
  <c r="P173" i="15"/>
  <c r="P172" i="15"/>
  <c r="P171" i="15"/>
  <c r="P169" i="15"/>
  <c r="P168" i="15"/>
  <c r="P167" i="15"/>
  <c r="P166" i="15"/>
  <c r="P165" i="15"/>
  <c r="P164" i="15"/>
  <c r="P162" i="15"/>
  <c r="P161" i="15"/>
  <c r="P160" i="15"/>
  <c r="P158" i="15"/>
  <c r="P157" i="15"/>
  <c r="P156" i="15"/>
  <c r="P155" i="15"/>
  <c r="P154" i="15"/>
  <c r="P152" i="15"/>
  <c r="P151" i="15"/>
  <c r="P150" i="15"/>
  <c r="P149" i="15"/>
  <c r="P148" i="15"/>
  <c r="P147" i="15"/>
  <c r="P146" i="15"/>
  <c r="P144" i="15"/>
  <c r="P143" i="15"/>
  <c r="P142" i="15"/>
  <c r="P141" i="15"/>
  <c r="P140" i="15"/>
  <c r="P139" i="15"/>
  <c r="P138" i="15"/>
  <c r="P136" i="15"/>
  <c r="P135" i="15"/>
  <c r="P134" i="15"/>
  <c r="P133" i="15"/>
  <c r="P132" i="15"/>
  <c r="P131" i="15"/>
  <c r="P130" i="15"/>
  <c r="P129" i="15"/>
  <c r="P128" i="15"/>
  <c r="P126" i="15"/>
  <c r="P125" i="15"/>
  <c r="P124" i="15"/>
  <c r="P123" i="15"/>
  <c r="P122" i="15"/>
  <c r="P121" i="15"/>
  <c r="P120" i="15"/>
  <c r="P119" i="15"/>
  <c r="P117" i="15"/>
  <c r="P116" i="15"/>
  <c r="P115" i="15"/>
  <c r="P114" i="15"/>
  <c r="P113" i="15"/>
  <c r="P111" i="15"/>
  <c r="P110" i="15"/>
  <c r="P109" i="15"/>
  <c r="P108" i="15"/>
  <c r="P103" i="15"/>
  <c r="P102" i="15"/>
  <c r="P189" i="3"/>
  <c r="P184" i="3"/>
  <c r="P181" i="3"/>
  <c r="P178" i="3"/>
  <c r="X181" i="3" s="1"/>
  <c r="X184" i="3" s="1"/>
  <c r="P320" i="15" l="1"/>
  <c r="Q320" i="15" s="1"/>
  <c r="P337" i="15"/>
  <c r="Q337" i="15" s="1"/>
  <c r="P242" i="15"/>
  <c r="Q242" i="15" s="1"/>
  <c r="S242" i="15" s="1"/>
  <c r="T242" i="15" s="1"/>
  <c r="P323" i="15"/>
  <c r="P195" i="15"/>
  <c r="Q195" i="15" s="1"/>
  <c r="S195" i="15" s="1"/>
  <c r="T195" i="15" s="1"/>
  <c r="P223" i="15"/>
  <c r="P353" i="15"/>
  <c r="Q353" i="15" s="1"/>
  <c r="P112" i="15"/>
  <c r="P153" i="15"/>
  <c r="Q153" i="15" s="1"/>
  <c r="S153" i="15" s="1"/>
  <c r="P344" i="15"/>
  <c r="P159" i="15"/>
  <c r="Q159" i="15" s="1"/>
  <c r="S159" i="15" s="1"/>
  <c r="T159" i="15" s="1"/>
  <c r="P174" i="15"/>
  <c r="P179" i="15"/>
  <c r="Q179" i="15" s="1"/>
  <c r="S179" i="15" s="1"/>
  <c r="P188" i="15"/>
  <c r="Q188" i="15" s="1"/>
  <c r="S188" i="15" s="1"/>
  <c r="P216" i="15"/>
  <c r="P230" i="15"/>
  <c r="P330" i="15"/>
  <c r="Q330" i="15" s="1"/>
  <c r="P340" i="15"/>
  <c r="P372" i="15"/>
  <c r="Q372" i="15" s="1"/>
  <c r="P381" i="15"/>
  <c r="Q381" i="15" s="1"/>
  <c r="P362" i="15"/>
  <c r="P107" i="15"/>
  <c r="P163" i="15"/>
  <c r="P205" i="15"/>
  <c r="Q205" i="15" s="1"/>
  <c r="S205" i="15" s="1"/>
  <c r="P118" i="15"/>
  <c r="Q118" i="15" s="1"/>
  <c r="S118" i="15" s="1"/>
  <c r="P127" i="15"/>
  <c r="Q127" i="15" s="1"/>
  <c r="S127" i="15" s="1"/>
  <c r="P145" i="15"/>
  <c r="Q145" i="15" s="1"/>
  <c r="S145" i="15" s="1"/>
  <c r="P137" i="15"/>
  <c r="Q137" i="15" s="1"/>
  <c r="S137" i="15" s="1"/>
  <c r="T137" i="15" s="1"/>
  <c r="P170" i="15"/>
  <c r="P237" i="15"/>
  <c r="P366" i="15"/>
  <c r="Q366" i="15" s="1"/>
  <c r="S337" i="15"/>
  <c r="T337" i="15" s="1"/>
  <c r="S330" i="15"/>
  <c r="P101" i="15"/>
  <c r="Q101" i="15" s="1"/>
  <c r="S101" i="15" s="1"/>
  <c r="T101" i="15" s="1"/>
  <c r="P95" i="15"/>
  <c r="P94" i="15"/>
  <c r="P93" i="15"/>
  <c r="Q340" i="15" l="1"/>
  <c r="S340" i="15" s="1"/>
  <c r="T340" i="15" s="1"/>
  <c r="Q344" i="15"/>
  <c r="S344" i="15" s="1"/>
  <c r="T344" i="15" s="1"/>
  <c r="Q323" i="15"/>
  <c r="S323" i="15" s="1"/>
  <c r="Q362" i="15"/>
  <c r="S362" i="15" s="1"/>
  <c r="Q361" i="15"/>
  <c r="S353" i="15"/>
  <c r="Q352" i="15"/>
  <c r="P92" i="15"/>
  <c r="Q92" i="15" s="1"/>
  <c r="S92" i="15" s="1"/>
  <c r="T92" i="15" s="1"/>
  <c r="P75" i="13"/>
  <c r="P74" i="13"/>
  <c r="P73" i="13"/>
  <c r="P72" i="13"/>
  <c r="P71" i="13" s="1"/>
  <c r="Q71" i="13" s="1"/>
  <c r="S71" i="13" s="1"/>
  <c r="P66" i="13"/>
  <c r="P65" i="13"/>
  <c r="P64" i="13"/>
  <c r="P63" i="13" s="1"/>
  <c r="Q63" i="13" s="1"/>
  <c r="S63" i="13" s="1"/>
  <c r="T63" i="13" s="1"/>
  <c r="P320" i="5" l="1"/>
  <c r="P319" i="5"/>
  <c r="P318" i="5"/>
  <c r="P314" i="5"/>
  <c r="P313" i="5"/>
  <c r="P312" i="5"/>
  <c r="P311" i="5"/>
  <c r="P310" i="5"/>
  <c r="P309" i="5"/>
  <c r="P308" i="5"/>
  <c r="P306" i="5"/>
  <c r="P304" i="5"/>
  <c r="P303" i="5"/>
  <c r="P302" i="5"/>
  <c r="P297" i="5"/>
  <c r="P298" i="5"/>
  <c r="P299" i="5"/>
  <c r="P300" i="5"/>
  <c r="P262" i="5"/>
  <c r="P261" i="5"/>
  <c r="P301" i="5" l="1"/>
  <c r="P307" i="5"/>
  <c r="P260" i="5"/>
  <c r="Q260" i="5" s="1"/>
  <c r="S260" i="5" s="1"/>
  <c r="T260" i="5" s="1"/>
  <c r="Q301" i="5"/>
  <c r="S301" i="5" s="1"/>
  <c r="T301" i="5" s="1"/>
  <c r="R55" i="4" l="1"/>
  <c r="S55" i="4"/>
  <c r="R56" i="4"/>
  <c r="S56" i="4" s="1"/>
  <c r="Q51" i="4"/>
  <c r="Q9" i="4"/>
  <c r="Q26" i="2"/>
  <c r="Q20" i="2"/>
  <c r="R10" i="2"/>
  <c r="S10" i="2" s="1"/>
  <c r="P126" i="19"/>
  <c r="P192" i="17"/>
  <c r="P189" i="17"/>
  <c r="P301" i="15"/>
  <c r="P254" i="5"/>
  <c r="P156" i="3"/>
  <c r="P151" i="3"/>
  <c r="Q8" i="4" l="1"/>
  <c r="R8" i="19"/>
  <c r="P70" i="19"/>
  <c r="P69" i="19"/>
  <c r="P68" i="19"/>
  <c r="P67" i="19"/>
  <c r="P66" i="19"/>
  <c r="P65" i="19"/>
  <c r="P64" i="19"/>
  <c r="P62" i="19"/>
  <c r="P61" i="19"/>
  <c r="P60" i="19"/>
  <c r="P59" i="19" s="1"/>
  <c r="Q59" i="19" s="1"/>
  <c r="P165" i="11"/>
  <c r="P164" i="11"/>
  <c r="P63" i="19" l="1"/>
  <c r="Q63" i="19" s="1"/>
  <c r="S63" i="19" s="1"/>
  <c r="Q58" i="19" l="1"/>
  <c r="S58" i="19" s="1"/>
  <c r="W253" i="3" l="1"/>
  <c r="R317" i="3" l="1"/>
  <c r="R316" i="3" s="1"/>
  <c r="P98" i="15"/>
  <c r="P97" i="15" s="1"/>
  <c r="Q96" i="15" l="1"/>
  <c r="Q97" i="15"/>
  <c r="S97" i="15" s="1"/>
  <c r="T97" i="15" s="1"/>
  <c r="Q317" i="3"/>
  <c r="S318" i="3"/>
  <c r="T318" i="3" s="1"/>
  <c r="S317" i="3" l="1"/>
  <c r="T317" i="3" s="1"/>
  <c r="Q316" i="3"/>
  <c r="S316" i="3" s="1"/>
  <c r="T316" i="3" s="1"/>
  <c r="P85" i="3" l="1"/>
  <c r="P199" i="3"/>
  <c r="M18" i="30" l="1"/>
  <c r="Q18" i="30" s="1"/>
  <c r="M17" i="30"/>
  <c r="M16" i="30"/>
  <c r="Q16" i="30" s="1"/>
  <c r="M15" i="30"/>
  <c r="M14" i="30"/>
  <c r="Q14" i="30" s="1"/>
  <c r="M13" i="30"/>
  <c r="Q13" i="30" s="1"/>
  <c r="M12" i="30"/>
  <c r="Q12" i="30" s="1"/>
  <c r="M11" i="30"/>
  <c r="Q11" i="30" s="1"/>
  <c r="M10" i="30"/>
  <c r="Q10" i="30" s="1"/>
  <c r="M9" i="30"/>
  <c r="Q9" i="30" s="1"/>
  <c r="M8" i="30"/>
  <c r="Q8" i="30" s="1"/>
  <c r="M7" i="30"/>
  <c r="Q7" i="30" s="1"/>
  <c r="L9" i="30"/>
  <c r="P9" i="30" s="1"/>
  <c r="L10" i="30"/>
  <c r="P10" i="30" s="1"/>
  <c r="L11" i="30"/>
  <c r="P11" i="30" s="1"/>
  <c r="L12" i="30"/>
  <c r="L13" i="30"/>
  <c r="L14" i="30"/>
  <c r="L15" i="30"/>
  <c r="P15" i="30" s="1"/>
  <c r="L16" i="30"/>
  <c r="L17" i="30"/>
  <c r="L18" i="30"/>
  <c r="L8" i="30"/>
  <c r="P8" i="30" s="1"/>
  <c r="P7" i="30"/>
  <c r="K18" i="30"/>
  <c r="O18" i="30" s="1"/>
  <c r="K9" i="30"/>
  <c r="O9" i="30" s="1"/>
  <c r="K10" i="30"/>
  <c r="O10" i="30" s="1"/>
  <c r="K11" i="30"/>
  <c r="O11" i="30" s="1"/>
  <c r="K12" i="30"/>
  <c r="O12" i="30" s="1"/>
  <c r="K13" i="30"/>
  <c r="O13" i="30" s="1"/>
  <c r="K14" i="30"/>
  <c r="O14" i="30" s="1"/>
  <c r="K15" i="30"/>
  <c r="O15" i="30" s="1"/>
  <c r="K16" i="30"/>
  <c r="O16" i="30" s="1"/>
  <c r="K17" i="30"/>
  <c r="O17" i="30" s="1"/>
  <c r="O8" i="30"/>
  <c r="F18" i="30"/>
  <c r="F17" i="30"/>
  <c r="F16" i="30"/>
  <c r="F15" i="30"/>
  <c r="F14" i="30"/>
  <c r="F13" i="30"/>
  <c r="F12" i="30"/>
  <c r="F11" i="30"/>
  <c r="F10" i="30"/>
  <c r="F9" i="30"/>
  <c r="F8" i="30"/>
  <c r="F7" i="30"/>
  <c r="C6" i="30"/>
  <c r="K6" i="30" s="1"/>
  <c r="O6" i="30" s="1"/>
  <c r="D6" i="30"/>
  <c r="E6" i="30"/>
  <c r="G6" i="30"/>
  <c r="H6" i="30"/>
  <c r="I6" i="30"/>
  <c r="P5" i="30"/>
  <c r="M5" i="30"/>
  <c r="Q5" i="30" s="1"/>
  <c r="L5" i="30"/>
  <c r="K5" i="30"/>
  <c r="O5" i="30" s="1"/>
  <c r="L6" i="30" l="1"/>
  <c r="P6" i="30" s="1"/>
  <c r="J14" i="30"/>
  <c r="N14" i="30" s="1"/>
  <c r="J11" i="30"/>
  <c r="N11" i="30" s="1"/>
  <c r="J15" i="30"/>
  <c r="N15" i="30" s="1"/>
  <c r="Q15" i="30"/>
  <c r="J17" i="30"/>
  <c r="N17" i="30" s="1"/>
  <c r="Q17" i="30"/>
  <c r="J18" i="30"/>
  <c r="N18" i="30" s="1"/>
  <c r="P14" i="30"/>
  <c r="M6" i="30"/>
  <c r="Q6" i="30" s="1"/>
  <c r="J8" i="30"/>
  <c r="N8" i="30" s="1"/>
  <c r="J9" i="30"/>
  <c r="N9" i="30" s="1"/>
  <c r="J13" i="30"/>
  <c r="N13" i="30" s="1"/>
  <c r="J16" i="30"/>
  <c r="N16" i="30" s="1"/>
  <c r="J12" i="30"/>
  <c r="N12" i="30" s="1"/>
  <c r="J7" i="30"/>
  <c r="J10" i="30"/>
  <c r="N10" i="30" s="1"/>
  <c r="F6" i="30"/>
  <c r="N7" i="30" l="1"/>
  <c r="J6" i="30"/>
  <c r="N6" i="30" s="1"/>
  <c r="P252" i="3"/>
  <c r="P179" i="42" l="1"/>
  <c r="P178" i="42" s="1"/>
  <c r="R176" i="42"/>
  <c r="X20" i="42" s="1"/>
  <c r="P163" i="42"/>
  <c r="Q163" i="42" s="1"/>
  <c r="S163" i="42" s="1"/>
  <c r="T163" i="42" s="1"/>
  <c r="X18" i="42"/>
  <c r="P160" i="42"/>
  <c r="P159" i="42" s="1"/>
  <c r="P157" i="42"/>
  <c r="P156" i="42" s="1"/>
  <c r="P154" i="42"/>
  <c r="P153" i="42" s="1"/>
  <c r="P151" i="42"/>
  <c r="P150" i="42" s="1"/>
  <c r="Q149" i="42" s="1"/>
  <c r="R148" i="42"/>
  <c r="X17" i="42" s="1"/>
  <c r="P147" i="42"/>
  <c r="P146" i="42"/>
  <c r="P145" i="42"/>
  <c r="R142" i="42"/>
  <c r="D79" i="31" s="1"/>
  <c r="P140" i="42"/>
  <c r="P136" i="42"/>
  <c r="P134" i="42"/>
  <c r="P133" i="42"/>
  <c r="P131" i="42"/>
  <c r="P130" i="42"/>
  <c r="P128" i="42"/>
  <c r="P127" i="42"/>
  <c r="P125" i="42"/>
  <c r="P124" i="42"/>
  <c r="P123" i="42"/>
  <c r="P121" i="42"/>
  <c r="P120" i="42"/>
  <c r="P119" i="42"/>
  <c r="P116" i="42"/>
  <c r="P115" i="42" s="1"/>
  <c r="Q115" i="42" s="1"/>
  <c r="S115" i="42" s="1"/>
  <c r="T115" i="42" s="1"/>
  <c r="P114" i="42"/>
  <c r="P113" i="42" s="1"/>
  <c r="Q113" i="42" s="1"/>
  <c r="S113" i="42" s="1"/>
  <c r="T113" i="42" s="1"/>
  <c r="P112" i="42"/>
  <c r="P111" i="42"/>
  <c r="P110" i="42"/>
  <c r="P108" i="42"/>
  <c r="P107" i="42"/>
  <c r="P106" i="42"/>
  <c r="P105" i="42"/>
  <c r="P102" i="42"/>
  <c r="P101" i="42"/>
  <c r="P100" i="42"/>
  <c r="P98" i="42"/>
  <c r="P97" i="42"/>
  <c r="P94" i="42"/>
  <c r="P93" i="42"/>
  <c r="P92" i="42"/>
  <c r="P89" i="42"/>
  <c r="P88" i="42"/>
  <c r="P87" i="42"/>
  <c r="R84" i="42"/>
  <c r="X13" i="42" s="1"/>
  <c r="P82" i="42"/>
  <c r="P81" i="42" s="1"/>
  <c r="R79" i="42"/>
  <c r="D67" i="31" s="1"/>
  <c r="P78" i="42"/>
  <c r="P77" i="42" s="1"/>
  <c r="P75" i="42"/>
  <c r="P74" i="42"/>
  <c r="P73" i="42"/>
  <c r="P72" i="42"/>
  <c r="P69" i="42"/>
  <c r="P68" i="42"/>
  <c r="P67" i="42"/>
  <c r="P66" i="42"/>
  <c r="P63" i="42"/>
  <c r="P62" i="42"/>
  <c r="P61" i="42"/>
  <c r="P58" i="42"/>
  <c r="P57" i="42"/>
  <c r="P56" i="42"/>
  <c r="P53" i="42"/>
  <c r="P52" i="42" s="1"/>
  <c r="P50" i="42"/>
  <c r="P49" i="42" s="1"/>
  <c r="Q49" i="42" s="1"/>
  <c r="S49" i="42" s="1"/>
  <c r="P48" i="42"/>
  <c r="P47" i="42" s="1"/>
  <c r="P45" i="42"/>
  <c r="P44" i="42" s="1"/>
  <c r="Q44" i="42" s="1"/>
  <c r="S44" i="42" s="1"/>
  <c r="T44" i="42" s="1"/>
  <c r="P43" i="42"/>
  <c r="P42" i="42" s="1"/>
  <c r="P40" i="42"/>
  <c r="P39" i="42" s="1"/>
  <c r="P36" i="42"/>
  <c r="G33" i="42"/>
  <c r="G34" i="42" s="1"/>
  <c r="P34" i="42" s="1"/>
  <c r="G35" i="42" s="1"/>
  <c r="P35" i="42" s="1"/>
  <c r="P29" i="42"/>
  <c r="P28" i="42" s="1"/>
  <c r="P26" i="42"/>
  <c r="P25" i="42"/>
  <c r="P23" i="42"/>
  <c r="P22" i="42"/>
  <c r="P20" i="42"/>
  <c r="P19" i="42" s="1"/>
  <c r="Q19" i="42" s="1"/>
  <c r="S19" i="42" s="1"/>
  <c r="T19" i="42" s="1"/>
  <c r="P18" i="42"/>
  <c r="P17" i="42"/>
  <c r="Q17" i="42" s="1"/>
  <c r="S17" i="42" s="1"/>
  <c r="T17" i="42" s="1"/>
  <c r="X16" i="42"/>
  <c r="P16" i="42"/>
  <c r="P15" i="42" s="1"/>
  <c r="P13" i="42"/>
  <c r="P12" i="42"/>
  <c r="P11" i="42"/>
  <c r="R8" i="42"/>
  <c r="X10" i="42" s="1"/>
  <c r="P122" i="42" l="1"/>
  <c r="Q122" i="42" s="1"/>
  <c r="S122" i="42" s="1"/>
  <c r="T122" i="42" s="1"/>
  <c r="P21" i="42"/>
  <c r="Q21" i="42" s="1"/>
  <c r="S21" i="42" s="1"/>
  <c r="T21" i="42" s="1"/>
  <c r="P55" i="42"/>
  <c r="Q55" i="42" s="1"/>
  <c r="S55" i="42" s="1"/>
  <c r="T55" i="42" s="1"/>
  <c r="P95" i="42"/>
  <c r="Q95" i="42" s="1"/>
  <c r="S95" i="42" s="1"/>
  <c r="T95" i="42" s="1"/>
  <c r="P129" i="42"/>
  <c r="Q129" i="42" s="1"/>
  <c r="S129" i="42" s="1"/>
  <c r="T129" i="42" s="1"/>
  <c r="P139" i="42"/>
  <c r="P144" i="42"/>
  <c r="X12" i="42"/>
  <c r="P126" i="42"/>
  <c r="Q126" i="42" s="1"/>
  <c r="S126" i="42" s="1"/>
  <c r="T126" i="42" s="1"/>
  <c r="P118" i="42"/>
  <c r="Q118" i="42" s="1"/>
  <c r="S118" i="42" s="1"/>
  <c r="T118" i="42" s="1"/>
  <c r="P24" i="42"/>
  <c r="Q24" i="42" s="1"/>
  <c r="S24" i="42" s="1"/>
  <c r="T24" i="42" s="1"/>
  <c r="P86" i="42"/>
  <c r="Q86" i="42" s="1"/>
  <c r="S86" i="42" s="1"/>
  <c r="T86" i="42" s="1"/>
  <c r="P99" i="42"/>
  <c r="Q99" i="42" s="1"/>
  <c r="S99" i="42" s="1"/>
  <c r="T99" i="42" s="1"/>
  <c r="P109" i="42"/>
  <c r="Q109" i="42" s="1"/>
  <c r="S109" i="42" s="1"/>
  <c r="T109" i="42" s="1"/>
  <c r="Q162" i="42"/>
  <c r="Q161" i="42" s="1"/>
  <c r="Q54" i="42"/>
  <c r="S54" i="42" s="1"/>
  <c r="T54" i="42" s="1"/>
  <c r="Q80" i="42"/>
  <c r="S80" i="42" s="1"/>
  <c r="T80" i="42" s="1"/>
  <c r="Q81" i="42"/>
  <c r="S81" i="42" s="1"/>
  <c r="T81" i="42" s="1"/>
  <c r="Q46" i="42"/>
  <c r="S46" i="42" s="1"/>
  <c r="T46" i="42" s="1"/>
  <c r="Q47" i="42"/>
  <c r="S47" i="42" s="1"/>
  <c r="T47" i="42" s="1"/>
  <c r="Q76" i="42"/>
  <c r="S76" i="42" s="1"/>
  <c r="Q77" i="42"/>
  <c r="S77" i="42" s="1"/>
  <c r="R7" i="42"/>
  <c r="Q41" i="42"/>
  <c r="S41" i="42" s="1"/>
  <c r="T41" i="42" s="1"/>
  <c r="Q42" i="42"/>
  <c r="S42" i="42" s="1"/>
  <c r="T42" i="42" s="1"/>
  <c r="P71" i="42"/>
  <c r="Q155" i="42"/>
  <c r="S155" i="42" s="1"/>
  <c r="T155" i="42" s="1"/>
  <c r="Q156" i="42"/>
  <c r="S156" i="42" s="1"/>
  <c r="T156" i="42" s="1"/>
  <c r="R175" i="42"/>
  <c r="P132" i="42"/>
  <c r="Q132" i="42" s="1"/>
  <c r="S132" i="42" s="1"/>
  <c r="T132" i="42" s="1"/>
  <c r="X15" i="42"/>
  <c r="D19" i="31"/>
  <c r="D107" i="31"/>
  <c r="P10" i="42"/>
  <c r="P33" i="42"/>
  <c r="P32" i="42" s="1"/>
  <c r="Q38" i="42"/>
  <c r="S38" i="42" s="1"/>
  <c r="Q39" i="42"/>
  <c r="S39" i="42" s="1"/>
  <c r="Q52" i="42"/>
  <c r="S52" i="42" s="1"/>
  <c r="P65" i="42"/>
  <c r="Q65" i="42" s="1"/>
  <c r="S65" i="42" s="1"/>
  <c r="T65" i="42" s="1"/>
  <c r="P104" i="42"/>
  <c r="Q104" i="42" s="1"/>
  <c r="S104" i="42" s="1"/>
  <c r="T104" i="42" s="1"/>
  <c r="Q138" i="42"/>
  <c r="S138" i="42" s="1"/>
  <c r="T138" i="42" s="1"/>
  <c r="Q139" i="42"/>
  <c r="S139" i="42" s="1"/>
  <c r="T139" i="42" s="1"/>
  <c r="Q143" i="42"/>
  <c r="Q142" i="42" s="1"/>
  <c r="B79" i="31" s="1"/>
  <c r="I78" i="38" s="1"/>
  <c r="Q144" i="42"/>
  <c r="S144" i="42" s="1"/>
  <c r="T144" i="42" s="1"/>
  <c r="Q150" i="42"/>
  <c r="S150" i="42" s="1"/>
  <c r="Q158" i="42"/>
  <c r="S158" i="42" s="1"/>
  <c r="T158" i="42" s="1"/>
  <c r="Q159" i="42"/>
  <c r="S159" i="42" s="1"/>
  <c r="T159" i="42" s="1"/>
  <c r="Q177" i="42"/>
  <c r="Q176" i="42" s="1"/>
  <c r="Q178" i="42"/>
  <c r="S178" i="42" s="1"/>
  <c r="T178" i="42" s="1"/>
  <c r="Q15" i="42"/>
  <c r="S15" i="42" s="1"/>
  <c r="Q27" i="42"/>
  <c r="S27" i="42" s="1"/>
  <c r="T27" i="42" s="1"/>
  <c r="Q28" i="42"/>
  <c r="S28" i="42" s="1"/>
  <c r="T28" i="42" s="1"/>
  <c r="P60" i="42"/>
  <c r="Q60" i="42" s="1"/>
  <c r="S60" i="42" s="1"/>
  <c r="P90" i="42"/>
  <c r="Q90" i="42" s="1"/>
  <c r="S90" i="42" s="1"/>
  <c r="T90" i="42" s="1"/>
  <c r="P135" i="42"/>
  <c r="Q152" i="42"/>
  <c r="S152" i="42" s="1"/>
  <c r="Q153" i="42"/>
  <c r="S153" i="42" s="1"/>
  <c r="Q51" i="42"/>
  <c r="S51" i="42" s="1"/>
  <c r="D90" i="31"/>
  <c r="D45" i="31"/>
  <c r="X11" i="42"/>
  <c r="D32" i="31"/>
  <c r="S149" i="42"/>
  <c r="R141" i="42"/>
  <c r="R83" i="42"/>
  <c r="Q85" i="42" l="1"/>
  <c r="Q135" i="42"/>
  <c r="S135" i="42" s="1"/>
  <c r="Q103" i="42"/>
  <c r="S103" i="42" s="1"/>
  <c r="T103" i="42" s="1"/>
  <c r="X9" i="42"/>
  <c r="X21" i="42" s="1"/>
  <c r="D129" i="31"/>
  <c r="S162" i="42"/>
  <c r="T162" i="42" s="1"/>
  <c r="Q148" i="42"/>
  <c r="B90" i="31" s="1"/>
  <c r="I89" i="38" s="1"/>
  <c r="Q79" i="42"/>
  <c r="B67" i="31" s="1"/>
  <c r="I66" i="38" s="1"/>
  <c r="S177" i="42"/>
  <c r="T177" i="42" s="1"/>
  <c r="Q14" i="42"/>
  <c r="S14" i="42" s="1"/>
  <c r="T14" i="42" s="1"/>
  <c r="Q117" i="42"/>
  <c r="Q70" i="42"/>
  <c r="S70" i="42" s="1"/>
  <c r="T70" i="42" s="1"/>
  <c r="Q71" i="42"/>
  <c r="S71" i="42" s="1"/>
  <c r="T71" i="42" s="1"/>
  <c r="Q59" i="42"/>
  <c r="S59" i="42" s="1"/>
  <c r="Q64" i="42"/>
  <c r="S64" i="42" s="1"/>
  <c r="T64" i="42" s="1"/>
  <c r="Q31" i="42"/>
  <c r="Q32" i="42"/>
  <c r="S32" i="42" s="1"/>
  <c r="T32" i="42" s="1"/>
  <c r="R6" i="42"/>
  <c r="R5" i="42" s="1"/>
  <c r="W6" i="42" s="1"/>
  <c r="S143" i="42"/>
  <c r="T143" i="42" s="1"/>
  <c r="Q9" i="42"/>
  <c r="Q10" i="42"/>
  <c r="S10" i="42" s="1"/>
  <c r="T10" i="42" s="1"/>
  <c r="S85" i="42"/>
  <c r="T85" i="42" s="1"/>
  <c r="W17" i="42"/>
  <c r="Q175" i="42"/>
  <c r="W20" i="42"/>
  <c r="S176" i="42"/>
  <c r="T176" i="42" s="1"/>
  <c r="S142" i="42"/>
  <c r="T142" i="42" s="1"/>
  <c r="W16" i="42"/>
  <c r="Q84" i="42" l="1"/>
  <c r="S117" i="42"/>
  <c r="T117" i="42" s="1"/>
  <c r="S79" i="42"/>
  <c r="T79" i="42" s="1"/>
  <c r="W12" i="42"/>
  <c r="Q141" i="42"/>
  <c r="S141" i="42" s="1"/>
  <c r="T141" i="42" s="1"/>
  <c r="S148" i="42"/>
  <c r="T148" i="42" s="1"/>
  <c r="S161" i="42"/>
  <c r="T161" i="42" s="1"/>
  <c r="W18" i="42"/>
  <c r="W15" i="42" s="1"/>
  <c r="B107" i="31"/>
  <c r="I106" i="38" s="1"/>
  <c r="S175" i="42"/>
  <c r="T175" i="42" s="1"/>
  <c r="B129" i="31"/>
  <c r="Q8" i="42"/>
  <c r="S9" i="42"/>
  <c r="T9" i="42" s="1"/>
  <c r="Q30" i="42"/>
  <c r="S31" i="42"/>
  <c r="T31" i="42" s="1"/>
  <c r="B45" i="31"/>
  <c r="I44" i="38" s="1"/>
  <c r="Q83" i="42"/>
  <c r="S83" i="42" s="1"/>
  <c r="T83" i="42" s="1"/>
  <c r="S84" i="42"/>
  <c r="T84" i="42" s="1"/>
  <c r="W13" i="42"/>
  <c r="B32" i="31" l="1"/>
  <c r="I31" i="38" s="1"/>
  <c r="W11" i="42"/>
  <c r="S30" i="42"/>
  <c r="T30" i="42" s="1"/>
  <c r="B19" i="31"/>
  <c r="I18" i="38" s="1"/>
  <c r="S8" i="42"/>
  <c r="T8" i="42" s="1"/>
  <c r="Q7" i="42"/>
  <c r="W10" i="42"/>
  <c r="W9" i="42" s="1"/>
  <c r="W21" i="42" s="1"/>
  <c r="V35" i="42"/>
  <c r="S7" i="42" l="1"/>
  <c r="T7" i="42" s="1"/>
  <c r="Q6" i="42"/>
  <c r="P24" i="19"/>
  <c r="P27" i="19"/>
  <c r="Q5" i="42" l="1"/>
  <c r="S6" i="42"/>
  <c r="T6" i="42" s="1"/>
  <c r="O13" i="18"/>
  <c r="S162" i="19"/>
  <c r="T162" i="19" s="1"/>
  <c r="V6" i="42" l="1"/>
  <c r="S5" i="42"/>
  <c r="T5" i="42" s="1"/>
  <c r="P81" i="19"/>
  <c r="P80" i="19"/>
  <c r="P79" i="19"/>
  <c r="P78" i="19"/>
  <c r="P77" i="19"/>
  <c r="P75" i="19"/>
  <c r="P74" i="19"/>
  <c r="P73" i="19"/>
  <c r="P41" i="19"/>
  <c r="P40" i="19"/>
  <c r="P42" i="19"/>
  <c r="P43" i="19"/>
  <c r="P44" i="19"/>
  <c r="P76" i="19" l="1"/>
  <c r="Q76" i="19" s="1"/>
  <c r="S76" i="19" s="1"/>
  <c r="P72" i="19"/>
  <c r="Q72" i="19" s="1"/>
  <c r="S72" i="19" s="1"/>
  <c r="P56" i="23"/>
  <c r="Q71" i="19" l="1"/>
  <c r="S71" i="19" s="1"/>
  <c r="P53" i="23"/>
  <c r="P52" i="23"/>
  <c r="P51" i="23"/>
  <c r="D22" i="31"/>
  <c r="R11" i="31" s="1"/>
  <c r="P63" i="23"/>
  <c r="P60" i="23"/>
  <c r="P59" i="23"/>
  <c r="P58" i="23"/>
  <c r="P57" i="23"/>
  <c r="D55" i="38" l="1"/>
  <c r="K132" i="38"/>
  <c r="P62" i="25" l="1"/>
  <c r="P61" i="25" s="1"/>
  <c r="Q60" i="25" l="1"/>
  <c r="S60" i="25" s="1"/>
  <c r="Q61" i="25"/>
  <c r="S61" i="25" s="1"/>
  <c r="P48" i="25"/>
  <c r="P63" i="3" l="1"/>
  <c r="P62" i="3" s="1"/>
  <c r="O32" i="10"/>
  <c r="P109" i="11"/>
  <c r="P108" i="11"/>
  <c r="P107" i="11" l="1"/>
  <c r="Q62" i="3"/>
  <c r="S62" i="3" s="1"/>
  <c r="P32" i="19"/>
  <c r="P31" i="19" s="1"/>
  <c r="Q31" i="19" s="1"/>
  <c r="S31" i="19" s="1"/>
  <c r="T31" i="19" s="1"/>
  <c r="P30" i="19"/>
  <c r="P29" i="19"/>
  <c r="P25" i="19"/>
  <c r="P26" i="19"/>
  <c r="P23" i="19"/>
  <c r="P12" i="19"/>
  <c r="P13" i="19"/>
  <c r="P14" i="19"/>
  <c r="P15" i="19"/>
  <c r="P16" i="19"/>
  <c r="P17" i="19"/>
  <c r="P18" i="19"/>
  <c r="P19" i="19"/>
  <c r="P20" i="19"/>
  <c r="P11" i="19"/>
  <c r="P11" i="17"/>
  <c r="P56" i="15"/>
  <c r="P57" i="15"/>
  <c r="P61" i="15"/>
  <c r="P62" i="15"/>
  <c r="P306" i="15"/>
  <c r="P298" i="15"/>
  <c r="P294" i="15"/>
  <c r="P295" i="15"/>
  <c r="P293" i="15"/>
  <c r="P290" i="15"/>
  <c r="P287" i="15"/>
  <c r="P285" i="15"/>
  <c r="P282" i="15"/>
  <c r="P281" i="15"/>
  <c r="P278" i="15"/>
  <c r="P277" i="15"/>
  <c r="P274" i="15"/>
  <c r="P272" i="15"/>
  <c r="P271" i="15"/>
  <c r="P194" i="3"/>
  <c r="P191" i="3"/>
  <c r="P200" i="3"/>
  <c r="P198" i="3" s="1"/>
  <c r="P205" i="3"/>
  <c r="P218" i="3"/>
  <c r="P219" i="3"/>
  <c r="P217" i="3"/>
  <c r="P225" i="3"/>
  <c r="P224" i="3"/>
  <c r="P223" i="3"/>
  <c r="P222" i="3"/>
  <c r="P221" i="3"/>
  <c r="P229" i="3"/>
  <c r="P228" i="3"/>
  <c r="P227" i="3"/>
  <c r="P232" i="3"/>
  <c r="P233" i="3"/>
  <c r="P234" i="3"/>
  <c r="P231" i="3"/>
  <c r="P242" i="3"/>
  <c r="P241" i="3"/>
  <c r="P240" i="3"/>
  <c r="P239" i="3"/>
  <c r="P238" i="3"/>
  <c r="P237" i="3"/>
  <c r="P236" i="3"/>
  <c r="P247" i="3"/>
  <c r="P248" i="3"/>
  <c r="P250" i="3"/>
  <c r="P246" i="3"/>
  <c r="P253" i="3"/>
  <c r="P254" i="3"/>
  <c r="P255" i="3"/>
  <c r="P256" i="3"/>
  <c r="P263" i="3"/>
  <c r="P264" i="3"/>
  <c r="P262" i="3"/>
  <c r="P267" i="3"/>
  <c r="P268" i="3"/>
  <c r="P269" i="3"/>
  <c r="P270" i="3"/>
  <c r="P271" i="3"/>
  <c r="P272" i="3"/>
  <c r="P273" i="3"/>
  <c r="P274" i="3"/>
  <c r="P275" i="3"/>
  <c r="P276" i="3"/>
  <c r="P266" i="3"/>
  <c r="P279" i="3"/>
  <c r="P280" i="3"/>
  <c r="P281" i="3"/>
  <c r="P282" i="3"/>
  <c r="P278" i="3"/>
  <c r="P285" i="3"/>
  <c r="P286" i="3"/>
  <c r="P287" i="3"/>
  <c r="P288" i="3"/>
  <c r="P284" i="3"/>
  <c r="P291" i="3"/>
  <c r="P292" i="3"/>
  <c r="P293" i="3"/>
  <c r="P290" i="3"/>
  <c r="P306" i="3"/>
  <c r="P305" i="3"/>
  <c r="P302" i="3"/>
  <c r="P303" i="3"/>
  <c r="P301" i="3"/>
  <c r="P296" i="3"/>
  <c r="P297" i="3"/>
  <c r="P298" i="3"/>
  <c r="P299" i="3"/>
  <c r="P295" i="3"/>
  <c r="P284" i="9"/>
  <c r="P177" i="19"/>
  <c r="P176" i="19" s="1"/>
  <c r="P168" i="19"/>
  <c r="P169" i="19"/>
  <c r="P170" i="19"/>
  <c r="P171" i="19"/>
  <c r="P172" i="19"/>
  <c r="P173" i="19"/>
  <c r="P95" i="19"/>
  <c r="P386" i="17"/>
  <c r="P111" i="11"/>
  <c r="P223" i="9"/>
  <c r="P148" i="9"/>
  <c r="P36" i="9"/>
  <c r="P49" i="7"/>
  <c r="P48" i="7"/>
  <c r="P47" i="7"/>
  <c r="Q47" i="7" s="1"/>
  <c r="S47" i="7" s="1"/>
  <c r="T47" i="7" s="1"/>
  <c r="P41" i="7"/>
  <c r="P40" i="7" s="1"/>
  <c r="Q40" i="7" s="1"/>
  <c r="S40" i="7" s="1"/>
  <c r="T40" i="7" s="1"/>
  <c r="P39" i="7"/>
  <c r="P38" i="7"/>
  <c r="P37" i="7" s="1"/>
  <c r="Q37" i="7" s="1"/>
  <c r="S37" i="7" s="1"/>
  <c r="T37" i="7" s="1"/>
  <c r="P32" i="7"/>
  <c r="P29" i="7"/>
  <c r="P28" i="7"/>
  <c r="P26" i="7"/>
  <c r="P25" i="7" s="1"/>
  <c r="Q25" i="7" s="1"/>
  <c r="S25" i="7" s="1"/>
  <c r="T25" i="7" s="1"/>
  <c r="P13" i="7"/>
  <c r="P317" i="5"/>
  <c r="Q317" i="5" s="1"/>
  <c r="S317" i="5" s="1"/>
  <c r="P316" i="5"/>
  <c r="P315" i="5" s="1"/>
  <c r="Q315" i="5" s="1"/>
  <c r="S315" i="5" s="1"/>
  <c r="P296" i="5"/>
  <c r="P295" i="5"/>
  <c r="P294" i="5" s="1"/>
  <c r="P293" i="5"/>
  <c r="P292" i="5"/>
  <c r="P291" i="5"/>
  <c r="P290" i="5"/>
  <c r="P287" i="5"/>
  <c r="P286" i="5"/>
  <c r="P285" i="5"/>
  <c r="P284" i="5"/>
  <c r="P283" i="5"/>
  <c r="P281" i="5"/>
  <c r="P229" i="5"/>
  <c r="P228" i="5"/>
  <c r="P227" i="5" s="1"/>
  <c r="P226" i="5"/>
  <c r="P185" i="5"/>
  <c r="P186" i="5"/>
  <c r="P181" i="5"/>
  <c r="P179" i="5"/>
  <c r="P176" i="5"/>
  <c r="P173" i="5"/>
  <c r="P170" i="5"/>
  <c r="P163" i="5"/>
  <c r="P146" i="5"/>
  <c r="P147" i="5"/>
  <c r="P143" i="5"/>
  <c r="P137" i="5"/>
  <c r="P138" i="5"/>
  <c r="P139" i="5"/>
  <c r="P140" i="5"/>
  <c r="P96" i="5"/>
  <c r="P100" i="5"/>
  <c r="P101" i="5"/>
  <c r="P102" i="5"/>
  <c r="P103" i="5"/>
  <c r="P87" i="5"/>
  <c r="P73" i="5"/>
  <c r="P74" i="5"/>
  <c r="P75" i="5"/>
  <c r="P76" i="5"/>
  <c r="P85" i="5"/>
  <c r="P86" i="5"/>
  <c r="P66" i="5"/>
  <c r="P67" i="5"/>
  <c r="P68" i="5"/>
  <c r="P69" i="5"/>
  <c r="O11" i="24"/>
  <c r="O10" i="24" s="1"/>
  <c r="O18" i="20"/>
  <c r="O18" i="18"/>
  <c r="O12" i="18"/>
  <c r="O11" i="18"/>
  <c r="O56" i="16"/>
  <c r="P56" i="16" s="1"/>
  <c r="R56" i="16" s="1"/>
  <c r="O55" i="16"/>
  <c r="P55" i="16" s="1"/>
  <c r="R55" i="16" s="1"/>
  <c r="S55" i="16" s="1"/>
  <c r="O54" i="16"/>
  <c r="P54" i="16" s="1"/>
  <c r="R54" i="16" s="1"/>
  <c r="S54" i="16" s="1"/>
  <c r="O53" i="16"/>
  <c r="P53" i="16" s="1"/>
  <c r="R53" i="16" s="1"/>
  <c r="S53" i="16" s="1"/>
  <c r="O52" i="16"/>
  <c r="P52" i="16" s="1"/>
  <c r="R52" i="16" s="1"/>
  <c r="O51" i="16"/>
  <c r="P51" i="16" s="1"/>
  <c r="R51" i="16" s="1"/>
  <c r="S51" i="16" s="1"/>
  <c r="O50" i="16"/>
  <c r="P50" i="16" s="1"/>
  <c r="R50" i="16" s="1"/>
  <c r="S50" i="16" s="1"/>
  <c r="O49" i="16"/>
  <c r="P49" i="16" s="1"/>
  <c r="R49" i="16" s="1"/>
  <c r="S49" i="16" s="1"/>
  <c r="O48" i="16"/>
  <c r="P48" i="16" s="1"/>
  <c r="R48" i="16" s="1"/>
  <c r="O47" i="16"/>
  <c r="P47" i="16" s="1"/>
  <c r="R47" i="16" s="1"/>
  <c r="S47" i="16" s="1"/>
  <c r="O46" i="16"/>
  <c r="P46" i="16" s="1"/>
  <c r="R46" i="16" s="1"/>
  <c r="S46" i="16" s="1"/>
  <c r="P27" i="7" l="1"/>
  <c r="Q27" i="7" s="1"/>
  <c r="S27" i="7" s="1"/>
  <c r="T27" i="7" s="1"/>
  <c r="Q36" i="7"/>
  <c r="P282" i="5"/>
  <c r="Q282" i="5" s="1"/>
  <c r="S282" i="5" s="1"/>
  <c r="T282" i="5" s="1"/>
  <c r="P289" i="5"/>
  <c r="Q289" i="5" s="1"/>
  <c r="S289" i="5" s="1"/>
  <c r="T289" i="5" s="1"/>
  <c r="P225" i="5"/>
  <c r="Q225" i="5" s="1"/>
  <c r="S225" i="5" s="1"/>
  <c r="T225" i="5" s="1"/>
  <c r="Q294" i="5"/>
  <c r="S294" i="5" s="1"/>
  <c r="T294" i="5" s="1"/>
  <c r="Q175" i="19"/>
  <c r="Q176" i="19"/>
  <c r="S176" i="19" s="1"/>
  <c r="Q227" i="5"/>
  <c r="S227" i="5" s="1"/>
  <c r="T227" i="5" s="1"/>
  <c r="Q307" i="5"/>
  <c r="S307" i="5" s="1"/>
  <c r="T307" i="5" s="1"/>
  <c r="P265" i="3"/>
  <c r="Q265" i="3" s="1"/>
  <c r="P226" i="3"/>
  <c r="P216" i="3"/>
  <c r="Q163" i="15"/>
  <c r="S163" i="15" s="1"/>
  <c r="Q174" i="15"/>
  <c r="S174" i="15" s="1"/>
  <c r="T174" i="15" s="1"/>
  <c r="Q112" i="15"/>
  <c r="S112" i="15" s="1"/>
  <c r="Q170" i="15"/>
  <c r="S170" i="15" s="1"/>
  <c r="T170" i="15" s="1"/>
  <c r="P294" i="3"/>
  <c r="P235" i="3"/>
  <c r="P220" i="3"/>
  <c r="P300" i="3"/>
  <c r="S175" i="19"/>
  <c r="P22" i="19"/>
  <c r="Q22" i="19" s="1"/>
  <c r="S22" i="19" s="1"/>
  <c r="T22" i="19" s="1"/>
  <c r="P230" i="3"/>
  <c r="Q300" i="3" l="1"/>
  <c r="S300" i="3" s="1"/>
  <c r="Q216" i="3"/>
  <c r="S216" i="3" s="1"/>
  <c r="T216" i="3" s="1"/>
  <c r="Q230" i="3"/>
  <c r="S230" i="3" s="1"/>
  <c r="T230" i="3" s="1"/>
  <c r="Q220" i="3"/>
  <c r="S220" i="3" s="1"/>
  <c r="T220" i="3" s="1"/>
  <c r="Q226" i="3"/>
  <c r="S226" i="3" s="1"/>
  <c r="Q235" i="3"/>
  <c r="S235" i="3" s="1"/>
  <c r="T235" i="3" s="1"/>
  <c r="Q294" i="3"/>
  <c r="S294" i="3" s="1"/>
  <c r="T294" i="3" s="1"/>
  <c r="X265" i="3"/>
  <c r="S265" i="3"/>
  <c r="T265" i="3" s="1"/>
  <c r="Q215" i="3"/>
  <c r="W20" i="38"/>
  <c r="W19" i="38"/>
  <c r="W18" i="38"/>
  <c r="W17" i="38"/>
  <c r="W16" i="38"/>
  <c r="W15" i="38"/>
  <c r="W14" i="38"/>
  <c r="W12" i="38"/>
  <c r="W13" i="38"/>
  <c r="W11" i="38"/>
  <c r="W10" i="38"/>
  <c r="V18" i="38"/>
  <c r="W9" i="38"/>
  <c r="R9" i="38"/>
  <c r="R18" i="38"/>
  <c r="R17" i="38"/>
  <c r="R16" i="38"/>
  <c r="R15" i="38"/>
  <c r="W21" i="38" l="1"/>
  <c r="Y24" i="3"/>
  <c r="O31" i="16" l="1"/>
  <c r="O32" i="16"/>
  <c r="O13" i="8"/>
  <c r="K118" i="38" l="1"/>
  <c r="M130" i="38"/>
  <c r="N130" i="38" s="1"/>
  <c r="M129" i="38"/>
  <c r="N129" i="38" s="1"/>
  <c r="M121" i="38"/>
  <c r="N121" i="38" s="1"/>
  <c r="M120" i="38"/>
  <c r="K131" i="38"/>
  <c r="M132" i="38"/>
  <c r="N132" i="38" s="1"/>
  <c r="M127" i="38"/>
  <c r="N127" i="38" s="1"/>
  <c r="M126" i="38"/>
  <c r="N126" i="38" s="1"/>
  <c r="M125" i="38"/>
  <c r="N125" i="38" s="1"/>
  <c r="M123" i="38"/>
  <c r="N123" i="38" s="1"/>
  <c r="M122" i="38"/>
  <c r="N122" i="38" s="1"/>
  <c r="M119" i="38"/>
  <c r="N119" i="38" s="1"/>
  <c r="K116" i="38"/>
  <c r="M115" i="38"/>
  <c r="N115" i="38" s="1"/>
  <c r="M114" i="38"/>
  <c r="N114" i="38" s="1"/>
  <c r="M113" i="38"/>
  <c r="M112" i="38"/>
  <c r="N112" i="38" s="1"/>
  <c r="M111" i="38"/>
  <c r="N111" i="38" s="1"/>
  <c r="M110" i="38"/>
  <c r="K109" i="38"/>
  <c r="I109" i="38"/>
  <c r="M106" i="38"/>
  <c r="K99" i="38"/>
  <c r="M96" i="38"/>
  <c r="N96" i="38" s="1"/>
  <c r="K47" i="38"/>
  <c r="K34" i="38"/>
  <c r="K70" i="38"/>
  <c r="M58" i="38"/>
  <c r="I57" i="38"/>
  <c r="M56" i="38"/>
  <c r="M55" i="38" s="1"/>
  <c r="K55" i="38"/>
  <c r="I55" i="38"/>
  <c r="M54" i="38"/>
  <c r="N54" i="38" s="1"/>
  <c r="M53" i="38"/>
  <c r="N53" i="38" s="1"/>
  <c r="M52" i="38"/>
  <c r="N52" i="38" s="1"/>
  <c r="M51" i="38"/>
  <c r="N51" i="38" s="1"/>
  <c r="M50" i="38"/>
  <c r="N50" i="38" s="1"/>
  <c r="M49" i="38"/>
  <c r="N49" i="38" s="1"/>
  <c r="M48" i="38"/>
  <c r="I47" i="38"/>
  <c r="K8" i="38"/>
  <c r="M18" i="38"/>
  <c r="N18" i="38" s="1"/>
  <c r="K21" i="38"/>
  <c r="M31" i="38"/>
  <c r="N31" i="38" s="1"/>
  <c r="M44" i="38"/>
  <c r="N44" i="38" s="1"/>
  <c r="D54" i="38"/>
  <c r="F53" i="38"/>
  <c r="D52" i="38"/>
  <c r="F51" i="38"/>
  <c r="G51" i="38" s="1"/>
  <c r="F50" i="38"/>
  <c r="G50" i="38" s="1"/>
  <c r="F49" i="38"/>
  <c r="G49" i="38" s="1"/>
  <c r="F48" i="38"/>
  <c r="G48" i="38" s="1"/>
  <c r="F47" i="38"/>
  <c r="G47" i="38" s="1"/>
  <c r="F46" i="38"/>
  <c r="G46" i="38" s="1"/>
  <c r="F45" i="38"/>
  <c r="G45" i="38" s="1"/>
  <c r="F44" i="38"/>
  <c r="G44" i="38" s="1"/>
  <c r="F43" i="38"/>
  <c r="G43" i="38" s="1"/>
  <c r="F42" i="38"/>
  <c r="G42" i="38" s="1"/>
  <c r="F41" i="38"/>
  <c r="G41" i="38" s="1"/>
  <c r="D39" i="38"/>
  <c r="F40" i="38"/>
  <c r="B39" i="38"/>
  <c r="F38" i="38"/>
  <c r="G38" i="38" s="1"/>
  <c r="F37" i="38"/>
  <c r="G37" i="38" s="1"/>
  <c r="F36" i="38"/>
  <c r="G36" i="38" s="1"/>
  <c r="F35" i="38"/>
  <c r="G35" i="38" s="1"/>
  <c r="D34" i="38"/>
  <c r="B34" i="38"/>
  <c r="D32" i="38"/>
  <c r="B32" i="38"/>
  <c r="B30" i="38"/>
  <c r="D30" i="38"/>
  <c r="F29" i="38"/>
  <c r="G29" i="38" s="1"/>
  <c r="F28" i="38"/>
  <c r="G28" i="38" s="1"/>
  <c r="F27" i="38"/>
  <c r="G27" i="38" s="1"/>
  <c r="F26" i="38"/>
  <c r="G26" i="38" s="1"/>
  <c r="B22" i="38"/>
  <c r="F24" i="38"/>
  <c r="G24" i="38" s="1"/>
  <c r="F23" i="38"/>
  <c r="G23" i="38" s="1"/>
  <c r="D22" i="38"/>
  <c r="D16" i="38"/>
  <c r="D8" i="38"/>
  <c r="D7" i="38" l="1"/>
  <c r="M109" i="38"/>
  <c r="N109" i="38" s="1"/>
  <c r="K92" i="38"/>
  <c r="M124" i="38"/>
  <c r="N124" i="38" s="1"/>
  <c r="M128" i="38"/>
  <c r="N128" i="38" s="1"/>
  <c r="I118" i="38"/>
  <c r="N120" i="38"/>
  <c r="N55" i="38"/>
  <c r="K57" i="38"/>
  <c r="K59" i="38"/>
  <c r="M57" i="38"/>
  <c r="N58" i="38"/>
  <c r="N56" i="38"/>
  <c r="M66" i="38"/>
  <c r="N66" i="38" s="1"/>
  <c r="K68" i="38"/>
  <c r="N48" i="38"/>
  <c r="M47" i="38"/>
  <c r="N47" i="38" s="1"/>
  <c r="F52" i="38"/>
  <c r="G52" i="38" s="1"/>
  <c r="G53" i="38"/>
  <c r="B52" i="38"/>
  <c r="F39" i="38"/>
  <c r="G39" i="38" s="1"/>
  <c r="G40" i="38"/>
  <c r="F34" i="38"/>
  <c r="G34" i="38" s="1"/>
  <c r="F33" i="38"/>
  <c r="F31" i="38"/>
  <c r="F25" i="38"/>
  <c r="G25" i="38" s="1"/>
  <c r="K7" i="38" l="1"/>
  <c r="N57" i="38"/>
  <c r="M118" i="38"/>
  <c r="F32" i="38"/>
  <c r="G32" i="38" s="1"/>
  <c r="G33" i="38"/>
  <c r="G31" i="38"/>
  <c r="F30" i="38"/>
  <c r="G30" i="38" s="1"/>
  <c r="F22" i="38"/>
  <c r="G22" i="38" s="1"/>
  <c r="H23" i="32"/>
  <c r="N118" i="38" l="1"/>
  <c r="R77" i="13"/>
  <c r="D86" i="31" s="1"/>
  <c r="Q77" i="13"/>
  <c r="R80" i="13"/>
  <c r="D97" i="31" s="1"/>
  <c r="Q80" i="13"/>
  <c r="A22" i="32"/>
  <c r="A21" i="32"/>
  <c r="H21" i="32"/>
  <c r="A15" i="32"/>
  <c r="A14" i="32"/>
  <c r="S80" i="13" l="1"/>
  <c r="T80" i="13" s="1"/>
  <c r="Q76" i="13"/>
  <c r="R76" i="13"/>
  <c r="D117" i="31" l="1"/>
  <c r="K23" i="32" s="1"/>
  <c r="F83" i="31"/>
  <c r="G83" i="31" s="1"/>
  <c r="D88" i="31"/>
  <c r="R206" i="17"/>
  <c r="D99" i="31" s="1"/>
  <c r="F97" i="31"/>
  <c r="G97" i="31" s="1"/>
  <c r="D108" i="31"/>
  <c r="P158" i="3"/>
  <c r="D35" i="29"/>
  <c r="F36" i="29"/>
  <c r="G36" i="29" s="1"/>
  <c r="D9" i="28" l="1"/>
  <c r="D21" i="32"/>
  <c r="P157" i="3"/>
  <c r="F107" i="31"/>
  <c r="B35" i="29"/>
  <c r="B21" i="32" s="1"/>
  <c r="F37" i="29"/>
  <c r="G37" i="29" s="1"/>
  <c r="F38" i="29"/>
  <c r="G38" i="29" s="1"/>
  <c r="F39" i="29"/>
  <c r="G39" i="29" s="1"/>
  <c r="F21" i="32" l="1"/>
  <c r="G21" i="32" s="1"/>
  <c r="Q157" i="3"/>
  <c r="S157" i="3" s="1"/>
  <c r="T157" i="3" s="1"/>
  <c r="F35" i="29"/>
  <c r="G35" i="29" s="1"/>
  <c r="D60" i="29" l="1"/>
  <c r="P9" i="24"/>
  <c r="B80" i="29" s="1"/>
  <c r="B95" i="38" s="1"/>
  <c r="D90" i="29"/>
  <c r="X12" i="25"/>
  <c r="R93" i="25"/>
  <c r="P97" i="25"/>
  <c r="P96" i="25" s="1"/>
  <c r="Q96" i="25" s="1"/>
  <c r="P101" i="25"/>
  <c r="R98" i="25"/>
  <c r="R68" i="25"/>
  <c r="R67" i="25" s="1"/>
  <c r="X13" i="25" s="1"/>
  <c r="P90" i="25"/>
  <c r="P89" i="25" s="1"/>
  <c r="P88" i="25"/>
  <c r="P87" i="25"/>
  <c r="P86" i="25"/>
  <c r="P84" i="25"/>
  <c r="P83" i="25"/>
  <c r="P82" i="25"/>
  <c r="P79" i="25"/>
  <c r="P78" i="25"/>
  <c r="P76" i="25" s="1"/>
  <c r="Q76" i="25" s="1"/>
  <c r="P75" i="25"/>
  <c r="P74" i="25"/>
  <c r="P73" i="25"/>
  <c r="P72" i="25"/>
  <c r="P71" i="25"/>
  <c r="P66" i="25"/>
  <c r="P65" i="25" s="1"/>
  <c r="P59" i="25"/>
  <c r="P58" i="25"/>
  <c r="P55" i="25"/>
  <c r="P54" i="25" s="1"/>
  <c r="Q54" i="25" s="1"/>
  <c r="S54" i="25" s="1"/>
  <c r="P52" i="25"/>
  <c r="P51" i="25"/>
  <c r="P47" i="25"/>
  <c r="P46" i="25" s="1"/>
  <c r="P44" i="25"/>
  <c r="P43" i="25"/>
  <c r="P42" i="25"/>
  <c r="P41" i="25"/>
  <c r="P38" i="25"/>
  <c r="P35" i="25"/>
  <c r="P34" i="25" s="1"/>
  <c r="P32" i="25"/>
  <c r="P31" i="25" s="1"/>
  <c r="Q31" i="25" s="1"/>
  <c r="S31" i="25" s="1"/>
  <c r="T31" i="25" s="1"/>
  <c r="G26" i="25"/>
  <c r="P26" i="25" s="1"/>
  <c r="P21" i="25"/>
  <c r="P20" i="25" s="1"/>
  <c r="P25" i="25"/>
  <c r="R8" i="25"/>
  <c r="D21" i="31" s="1"/>
  <c r="D9" i="31" s="1"/>
  <c r="R10" i="31" s="1"/>
  <c r="P18" i="25"/>
  <c r="P17" i="25" s="1"/>
  <c r="Q17" i="25" s="1"/>
  <c r="S17" i="25" s="1"/>
  <c r="P16" i="25"/>
  <c r="P15" i="25" s="1"/>
  <c r="Q15" i="25" s="1"/>
  <c r="S15" i="25" s="1"/>
  <c r="P13" i="25"/>
  <c r="P12" i="25"/>
  <c r="P11" i="25"/>
  <c r="R25" i="23"/>
  <c r="X12" i="23" s="1"/>
  <c r="X11" i="23"/>
  <c r="P44" i="23"/>
  <c r="Q44" i="23" s="1"/>
  <c r="S44" i="23" s="1"/>
  <c r="T44" i="23" s="1"/>
  <c r="P45" i="23"/>
  <c r="R77" i="23"/>
  <c r="R110" i="23"/>
  <c r="R106" i="23"/>
  <c r="X16" i="23" s="1"/>
  <c r="P118" i="23"/>
  <c r="P117" i="23" s="1"/>
  <c r="P109" i="23"/>
  <c r="P108" i="23"/>
  <c r="Q108" i="23" s="1"/>
  <c r="S108" i="23" s="1"/>
  <c r="T108" i="23" s="1"/>
  <c r="Q77" i="23"/>
  <c r="P100" i="23"/>
  <c r="Q100" i="23" s="1"/>
  <c r="S100" i="23" s="1"/>
  <c r="P94" i="23"/>
  <c r="P93" i="23"/>
  <c r="R79" i="23"/>
  <c r="X13" i="23" s="1"/>
  <c r="P74" i="23"/>
  <c r="P73" i="23" s="1"/>
  <c r="P71" i="23"/>
  <c r="P70" i="23"/>
  <c r="P67" i="23"/>
  <c r="P66" i="23" s="1"/>
  <c r="P64" i="23"/>
  <c r="P62" i="23" s="1"/>
  <c r="P48" i="23"/>
  <c r="P47" i="23" s="1"/>
  <c r="Q47" i="23" s="1"/>
  <c r="S47" i="23" s="1"/>
  <c r="T47" i="23" s="1"/>
  <c r="P42" i="23"/>
  <c r="P41" i="23"/>
  <c r="P38" i="23"/>
  <c r="P35" i="23"/>
  <c r="P34" i="23"/>
  <c r="Q34" i="23" s="1"/>
  <c r="S34" i="23" s="1"/>
  <c r="T34" i="23" s="1"/>
  <c r="P24" i="23"/>
  <c r="P23" i="23" s="1"/>
  <c r="Q22" i="23" s="1"/>
  <c r="P21" i="23"/>
  <c r="P20" i="23" s="1"/>
  <c r="P18" i="23"/>
  <c r="P17" i="23" s="1"/>
  <c r="Q17" i="23" s="1"/>
  <c r="S17" i="23" s="1"/>
  <c r="T17" i="23" s="1"/>
  <c r="P16" i="23"/>
  <c r="P15" i="23" s="1"/>
  <c r="P13" i="23"/>
  <c r="P12" i="23"/>
  <c r="P11" i="23"/>
  <c r="P192" i="19"/>
  <c r="P191" i="19" s="1"/>
  <c r="Q191" i="19" s="1"/>
  <c r="S191" i="19" s="1"/>
  <c r="P190" i="19"/>
  <c r="P189" i="19"/>
  <c r="P187" i="19"/>
  <c r="P186" i="19" s="1"/>
  <c r="Q186" i="19" s="1"/>
  <c r="S186" i="19" s="1"/>
  <c r="T186" i="19" s="1"/>
  <c r="P185" i="19"/>
  <c r="P184" i="19"/>
  <c r="P183" i="19"/>
  <c r="R180" i="19"/>
  <c r="Q174" i="19"/>
  <c r="R174" i="19"/>
  <c r="R194" i="19"/>
  <c r="R193" i="19" s="1"/>
  <c r="P197" i="19"/>
  <c r="P196" i="19" s="1"/>
  <c r="Q196" i="19" s="1"/>
  <c r="S196" i="19" s="1"/>
  <c r="T196" i="19" s="1"/>
  <c r="R164" i="19"/>
  <c r="P167" i="19"/>
  <c r="P166" i="19" s="1"/>
  <c r="P156" i="19"/>
  <c r="Q156" i="19" s="1"/>
  <c r="S156" i="19" s="1"/>
  <c r="T156" i="19" s="1"/>
  <c r="P130" i="19"/>
  <c r="Q130" i="19" s="1"/>
  <c r="S130" i="19" s="1"/>
  <c r="P125" i="19"/>
  <c r="Q125" i="19" s="1"/>
  <c r="S125" i="19" s="1"/>
  <c r="T125" i="19" s="1"/>
  <c r="P123" i="19"/>
  <c r="P122" i="19"/>
  <c r="P119" i="19"/>
  <c r="P118" i="19" s="1"/>
  <c r="P116" i="19"/>
  <c r="P115" i="19" s="1"/>
  <c r="Q115" i="19" s="1"/>
  <c r="S115" i="19" s="1"/>
  <c r="T115" i="19" s="1"/>
  <c r="P113" i="19"/>
  <c r="P112" i="19"/>
  <c r="P108" i="19"/>
  <c r="P107" i="19" s="1"/>
  <c r="P104" i="19"/>
  <c r="P103" i="19"/>
  <c r="P100" i="19"/>
  <c r="P99" i="19" s="1"/>
  <c r="Q99" i="19" s="1"/>
  <c r="S99" i="19" s="1"/>
  <c r="T99" i="19" s="1"/>
  <c r="P98" i="19"/>
  <c r="P97" i="19" s="1"/>
  <c r="Q97" i="19" s="1"/>
  <c r="S97" i="19" s="1"/>
  <c r="T97" i="19" s="1"/>
  <c r="P94" i="19"/>
  <c r="Q94" i="19" s="1"/>
  <c r="S94" i="19" s="1"/>
  <c r="T94" i="19" s="1"/>
  <c r="P92" i="19"/>
  <c r="P91" i="19"/>
  <c r="P90" i="19"/>
  <c r="P89" i="19"/>
  <c r="P88" i="19"/>
  <c r="P84" i="19"/>
  <c r="P83" i="19" s="1"/>
  <c r="P57" i="19"/>
  <c r="P56" i="19" s="1"/>
  <c r="Q56" i="19" s="1"/>
  <c r="S56" i="19" s="1"/>
  <c r="T56" i="19" s="1"/>
  <c r="P55" i="19"/>
  <c r="P54" i="19" s="1"/>
  <c r="Q54" i="19" s="1"/>
  <c r="S54" i="19" s="1"/>
  <c r="T54" i="19" s="1"/>
  <c r="P53" i="19"/>
  <c r="P52" i="19"/>
  <c r="P51" i="19"/>
  <c r="P50" i="19"/>
  <c r="P49" i="19"/>
  <c r="P48" i="19"/>
  <c r="P47" i="19"/>
  <c r="P45" i="19"/>
  <c r="P39" i="19"/>
  <c r="P38" i="19"/>
  <c r="P36" i="19"/>
  <c r="P35" i="19"/>
  <c r="P34" i="19"/>
  <c r="P28" i="19"/>
  <c r="Q28" i="19" s="1"/>
  <c r="S28" i="19" s="1"/>
  <c r="T28" i="19" s="1"/>
  <c r="P390" i="17"/>
  <c r="P389" i="17" s="1"/>
  <c r="Q389" i="17" s="1"/>
  <c r="S389" i="17" s="1"/>
  <c r="P388" i="17"/>
  <c r="P387" i="17" s="1"/>
  <c r="Q387" i="17" s="1"/>
  <c r="S387" i="17" s="1"/>
  <c r="T387" i="17" s="1"/>
  <c r="P385" i="17"/>
  <c r="Q385" i="17" s="1"/>
  <c r="S385" i="17" s="1"/>
  <c r="T385" i="17" s="1"/>
  <c r="R375" i="17"/>
  <c r="R374" i="17" s="1"/>
  <c r="P373" i="17"/>
  <c r="P372" i="17" s="1"/>
  <c r="P370" i="17"/>
  <c r="P369" i="17" s="1"/>
  <c r="P367" i="17"/>
  <c r="P366" i="17"/>
  <c r="P341" i="17"/>
  <c r="Q341" i="17" s="1"/>
  <c r="S341" i="17" s="1"/>
  <c r="P336" i="17"/>
  <c r="Q336" i="17" s="1"/>
  <c r="S336" i="17" s="1"/>
  <c r="P334" i="17"/>
  <c r="Q334" i="17" s="1"/>
  <c r="S334" i="17" s="1"/>
  <c r="Q330" i="17"/>
  <c r="S330" i="17" s="1"/>
  <c r="T330" i="17" s="1"/>
  <c r="P381" i="17"/>
  <c r="P380" i="17" s="1"/>
  <c r="P378" i="17"/>
  <c r="P377" i="17" s="1"/>
  <c r="Q377" i="17" s="1"/>
  <c r="S377" i="17" s="1"/>
  <c r="Q272" i="17"/>
  <c r="S272" i="17" s="1"/>
  <c r="T272" i="17" s="1"/>
  <c r="P209" i="17"/>
  <c r="P208" i="17" s="1"/>
  <c r="P205" i="17"/>
  <c r="P204" i="17" s="1"/>
  <c r="Q204" i="17" s="1"/>
  <c r="S204" i="17" s="1"/>
  <c r="P203" i="17"/>
  <c r="P202" i="17"/>
  <c r="P201" i="17"/>
  <c r="P198" i="17"/>
  <c r="P197" i="17"/>
  <c r="P194" i="17"/>
  <c r="P193" i="17" s="1"/>
  <c r="Q193" i="17" s="1"/>
  <c r="S193" i="17" s="1"/>
  <c r="T193" i="17" s="1"/>
  <c r="P191" i="17"/>
  <c r="Q191" i="17" s="1"/>
  <c r="S191" i="17" s="1"/>
  <c r="T191" i="17" s="1"/>
  <c r="P188" i="17"/>
  <c r="P186" i="17"/>
  <c r="P185" i="17"/>
  <c r="P184" i="17"/>
  <c r="P183" i="17"/>
  <c r="P182" i="17"/>
  <c r="P181" i="17"/>
  <c r="P180" i="17"/>
  <c r="P177" i="17"/>
  <c r="P176" i="17"/>
  <c r="P175" i="17"/>
  <c r="P172" i="17"/>
  <c r="P171" i="17"/>
  <c r="P170" i="17"/>
  <c r="P169" i="17"/>
  <c r="P168" i="17"/>
  <c r="P167" i="17"/>
  <c r="P166" i="17"/>
  <c r="P165" i="17"/>
  <c r="P164" i="17"/>
  <c r="P163" i="17"/>
  <c r="P162" i="17"/>
  <c r="P161" i="17"/>
  <c r="P158" i="17"/>
  <c r="P157" i="17"/>
  <c r="P156" i="17"/>
  <c r="P153" i="17"/>
  <c r="P152" i="17" s="1"/>
  <c r="Q152" i="17" s="1"/>
  <c r="S152" i="17" s="1"/>
  <c r="T152" i="17" s="1"/>
  <c r="P149" i="17"/>
  <c r="P148" i="17"/>
  <c r="P147" i="17"/>
  <c r="P146" i="17"/>
  <c r="P143" i="17"/>
  <c r="P142" i="17"/>
  <c r="P141" i="17"/>
  <c r="P140" i="17"/>
  <c r="P139" i="17"/>
  <c r="P138" i="17"/>
  <c r="P137" i="17"/>
  <c r="P134" i="17"/>
  <c r="P133" i="17"/>
  <c r="Z130" i="17"/>
  <c r="P129" i="17"/>
  <c r="G127" i="17"/>
  <c r="P127" i="17" s="1"/>
  <c r="G126" i="17"/>
  <c r="P126" i="17" s="1"/>
  <c r="P124" i="17"/>
  <c r="G125" i="17" s="1"/>
  <c r="P125" i="17" s="1"/>
  <c r="P123" i="17"/>
  <c r="P117" i="17"/>
  <c r="P116" i="17" s="1"/>
  <c r="Q116" i="17" s="1"/>
  <c r="S116" i="17" s="1"/>
  <c r="T116" i="17" s="1"/>
  <c r="P119" i="17"/>
  <c r="P118" i="17" s="1"/>
  <c r="Q118" i="17" s="1"/>
  <c r="S118" i="17" s="1"/>
  <c r="P114" i="17"/>
  <c r="P113" i="17" s="1"/>
  <c r="Q113" i="17" s="1"/>
  <c r="S113" i="17" s="1"/>
  <c r="T113" i="17" s="1"/>
  <c r="P112" i="17"/>
  <c r="P111" i="17" s="1"/>
  <c r="Q111" i="17" s="1"/>
  <c r="S111" i="17" s="1"/>
  <c r="T111" i="17" s="1"/>
  <c r="P108" i="17"/>
  <c r="P84" i="17"/>
  <c r="P83" i="17" s="1"/>
  <c r="Q83" i="17" s="1"/>
  <c r="S83" i="17" s="1"/>
  <c r="T83" i="17" s="1"/>
  <c r="P81" i="17"/>
  <c r="P80" i="17" s="1"/>
  <c r="Q80" i="17" s="1"/>
  <c r="S80" i="17" s="1"/>
  <c r="T80" i="17" s="1"/>
  <c r="P78" i="17"/>
  <c r="P77" i="17" s="1"/>
  <c r="P75" i="17"/>
  <c r="P74" i="17"/>
  <c r="P73" i="17"/>
  <c r="P70" i="17"/>
  <c r="P69" i="17"/>
  <c r="G65" i="17"/>
  <c r="G66" i="17" s="1"/>
  <c r="P66" i="17" s="1"/>
  <c r="P63" i="17"/>
  <c r="G64" i="17" s="1"/>
  <c r="P64" i="17" s="1"/>
  <c r="P62" i="17"/>
  <c r="P55" i="17"/>
  <c r="P54" i="17"/>
  <c r="P53" i="17"/>
  <c r="P51" i="17"/>
  <c r="P50" i="17"/>
  <c r="P49" i="17"/>
  <c r="P46" i="17"/>
  <c r="P45" i="17"/>
  <c r="P44" i="17"/>
  <c r="P43" i="17"/>
  <c r="P42" i="17"/>
  <c r="P40" i="17"/>
  <c r="P34" i="17"/>
  <c r="P33" i="17"/>
  <c r="P32" i="17"/>
  <c r="P31" i="17"/>
  <c r="P30" i="17"/>
  <c r="P28" i="17"/>
  <c r="P27" i="17"/>
  <c r="P26" i="17"/>
  <c r="P25" i="17"/>
  <c r="P23" i="17"/>
  <c r="P22" i="17" s="1"/>
  <c r="Q22" i="17" s="1"/>
  <c r="S22" i="17" s="1"/>
  <c r="T22" i="17" s="1"/>
  <c r="P21" i="17"/>
  <c r="P20" i="17" s="1"/>
  <c r="Q20" i="17" s="1"/>
  <c r="S20" i="17" s="1"/>
  <c r="T20" i="17" s="1"/>
  <c r="P19" i="17"/>
  <c r="P18" i="17"/>
  <c r="P15" i="17"/>
  <c r="P14" i="17"/>
  <c r="G39" i="17" s="1"/>
  <c r="P39" i="17" s="1"/>
  <c r="G38" i="17"/>
  <c r="P38" i="17" s="1"/>
  <c r="P12" i="17"/>
  <c r="G37" i="17" s="1"/>
  <c r="P37" i="17" s="1"/>
  <c r="G36" i="17"/>
  <c r="P36" i="17" s="1"/>
  <c r="P396" i="15"/>
  <c r="P395" i="15" s="1"/>
  <c r="D87" i="31"/>
  <c r="Q89" i="25" l="1"/>
  <c r="S89" i="25" s="1"/>
  <c r="R105" i="23"/>
  <c r="X18" i="23"/>
  <c r="X15" i="23" s="1"/>
  <c r="X16" i="25"/>
  <c r="D92" i="31"/>
  <c r="P37" i="19"/>
  <c r="Q37" i="23"/>
  <c r="S37" i="23" s="1"/>
  <c r="T37" i="23" s="1"/>
  <c r="P37" i="23"/>
  <c r="X17" i="25"/>
  <c r="D109" i="31"/>
  <c r="P160" i="17"/>
  <c r="P40" i="23"/>
  <c r="Q40" i="23" s="1"/>
  <c r="S40" i="23" s="1"/>
  <c r="T40" i="23" s="1"/>
  <c r="P37" i="25"/>
  <c r="Q37" i="25" s="1"/>
  <c r="S37" i="25" s="1"/>
  <c r="T37" i="25" s="1"/>
  <c r="Q117" i="23"/>
  <c r="S117" i="23" s="1"/>
  <c r="T117" i="23" s="1"/>
  <c r="B130" i="31"/>
  <c r="Q69" i="23"/>
  <c r="S69" i="23" s="1"/>
  <c r="Q70" i="23"/>
  <c r="S70" i="23" s="1"/>
  <c r="Q92" i="23"/>
  <c r="Q93" i="23"/>
  <c r="S93" i="23" s="1"/>
  <c r="Q14" i="23"/>
  <c r="Q15" i="23"/>
  <c r="S15" i="23" s="1"/>
  <c r="T15" i="23" s="1"/>
  <c r="Q61" i="23"/>
  <c r="S61" i="23" s="1"/>
  <c r="T61" i="23" s="1"/>
  <c r="Q62" i="23"/>
  <c r="S62" i="23" s="1"/>
  <c r="T62" i="23" s="1"/>
  <c r="Q72" i="23"/>
  <c r="Q73" i="23"/>
  <c r="S73" i="23" s="1"/>
  <c r="T73" i="23" s="1"/>
  <c r="R7" i="23"/>
  <c r="Q19" i="23"/>
  <c r="S19" i="23" s="1"/>
  <c r="T19" i="23" s="1"/>
  <c r="Q65" i="23"/>
  <c r="S65" i="23" s="1"/>
  <c r="T65" i="23" s="1"/>
  <c r="Q66" i="23"/>
  <c r="S66" i="23" s="1"/>
  <c r="T66" i="23" s="1"/>
  <c r="P179" i="17"/>
  <c r="S76" i="25"/>
  <c r="T76" i="25" s="1"/>
  <c r="Q33" i="25"/>
  <c r="Q34" i="25"/>
  <c r="S34" i="25" s="1"/>
  <c r="T34" i="25" s="1"/>
  <c r="Q19" i="25"/>
  <c r="S19" i="25" s="1"/>
  <c r="Q20" i="25"/>
  <c r="S20" i="25" s="1"/>
  <c r="Q64" i="25"/>
  <c r="S64" i="25" s="1"/>
  <c r="Q65" i="25"/>
  <c r="S65" i="25" s="1"/>
  <c r="Q45" i="25"/>
  <c r="Q46" i="25"/>
  <c r="S46" i="25" s="1"/>
  <c r="T46" i="25" s="1"/>
  <c r="P100" i="25"/>
  <c r="Q100" i="25" s="1"/>
  <c r="S100" i="25" s="1"/>
  <c r="T100" i="25" s="1"/>
  <c r="Q95" i="25"/>
  <c r="S96" i="25"/>
  <c r="Q106" i="19"/>
  <c r="Q107" i="19"/>
  <c r="S107" i="19" s="1"/>
  <c r="T107" i="19" s="1"/>
  <c r="Q82" i="19"/>
  <c r="Q83" i="19"/>
  <c r="S83" i="19" s="1"/>
  <c r="T83" i="19" s="1"/>
  <c r="Q117" i="19"/>
  <c r="Q118" i="19"/>
  <c r="S118" i="19" s="1"/>
  <c r="T118" i="19" s="1"/>
  <c r="R76" i="23"/>
  <c r="Q371" i="17"/>
  <c r="S371" i="17" s="1"/>
  <c r="T371" i="17" s="1"/>
  <c r="Q372" i="17"/>
  <c r="S372" i="17" s="1"/>
  <c r="T372" i="17" s="1"/>
  <c r="Q107" i="17"/>
  <c r="Q108" i="17"/>
  <c r="S108" i="17" s="1"/>
  <c r="Q187" i="17"/>
  <c r="Q188" i="17"/>
  <c r="S188" i="17" s="1"/>
  <c r="T188" i="17" s="1"/>
  <c r="Q379" i="17"/>
  <c r="S379" i="17" s="1"/>
  <c r="Q380" i="17"/>
  <c r="S380" i="17" s="1"/>
  <c r="Q207" i="17"/>
  <c r="Q206" i="17" s="1"/>
  <c r="S206" i="17" s="1"/>
  <c r="T206" i="17" s="1"/>
  <c r="Q208" i="17"/>
  <c r="S208" i="17" s="1"/>
  <c r="T208" i="17" s="1"/>
  <c r="Q76" i="17"/>
  <c r="S76" i="17" s="1"/>
  <c r="Q77" i="17"/>
  <c r="S77" i="17" s="1"/>
  <c r="Q368" i="17"/>
  <c r="S368" i="17" s="1"/>
  <c r="T368" i="17" s="1"/>
  <c r="Q369" i="17"/>
  <c r="S369" i="17" s="1"/>
  <c r="T369" i="17" s="1"/>
  <c r="B126" i="31"/>
  <c r="Q395" i="15"/>
  <c r="S395" i="15" s="1"/>
  <c r="T395" i="15" s="1"/>
  <c r="P50" i="25"/>
  <c r="P57" i="25"/>
  <c r="P10" i="25"/>
  <c r="P70" i="25"/>
  <c r="Q95" i="23"/>
  <c r="Q355" i="17"/>
  <c r="S355" i="17" s="1"/>
  <c r="T355" i="17" s="1"/>
  <c r="Q179" i="17"/>
  <c r="S179" i="17" s="1"/>
  <c r="T179" i="17" s="1"/>
  <c r="Q274" i="17"/>
  <c r="S274" i="17" s="1"/>
  <c r="T274" i="17" s="1"/>
  <c r="Q160" i="17"/>
  <c r="S160" i="17" s="1"/>
  <c r="T160" i="17" s="1"/>
  <c r="P174" i="17"/>
  <c r="Q174" i="17" s="1"/>
  <c r="S174" i="17" s="1"/>
  <c r="T174" i="17" s="1"/>
  <c r="B137" i="31"/>
  <c r="I136" i="38" s="1"/>
  <c r="M136" i="38" s="1"/>
  <c r="N136" i="38" s="1"/>
  <c r="P122" i="17"/>
  <c r="Q122" i="17" s="1"/>
  <c r="S122" i="17" s="1"/>
  <c r="T122" i="17" s="1"/>
  <c r="P155" i="17"/>
  <c r="Q155" i="17" s="1"/>
  <c r="S155" i="17" s="1"/>
  <c r="T155" i="17" s="1"/>
  <c r="P365" i="17"/>
  <c r="Q37" i="19"/>
  <c r="S37" i="19" s="1"/>
  <c r="T37" i="19" s="1"/>
  <c r="S178" i="19"/>
  <c r="P137" i="19"/>
  <c r="Q137" i="19" s="1"/>
  <c r="S137" i="19" s="1"/>
  <c r="T137" i="19" s="1"/>
  <c r="P33" i="19"/>
  <c r="Q33" i="19" s="1"/>
  <c r="S33" i="19" s="1"/>
  <c r="T33" i="19" s="1"/>
  <c r="P46" i="19"/>
  <c r="Q46" i="19" s="1"/>
  <c r="S46" i="19" s="1"/>
  <c r="T46" i="19" s="1"/>
  <c r="P55" i="23"/>
  <c r="Q55" i="23" s="1"/>
  <c r="S55" i="23" s="1"/>
  <c r="T55" i="23" s="1"/>
  <c r="X14" i="25"/>
  <c r="R92" i="25"/>
  <c r="X10" i="25"/>
  <c r="Q14" i="25"/>
  <c r="S14" i="25" s="1"/>
  <c r="Q195" i="19"/>
  <c r="Q194" i="19" s="1"/>
  <c r="B128" i="31"/>
  <c r="R163" i="19"/>
  <c r="P188" i="19"/>
  <c r="Q188" i="19" s="1"/>
  <c r="S188" i="19" s="1"/>
  <c r="T188" i="19" s="1"/>
  <c r="B127" i="31"/>
  <c r="Q384" i="17"/>
  <c r="P40" i="25"/>
  <c r="Q40" i="25" s="1"/>
  <c r="S40" i="25" s="1"/>
  <c r="T40" i="25" s="1"/>
  <c r="P85" i="25"/>
  <c r="P81" i="25"/>
  <c r="G27" i="25"/>
  <c r="P27" i="25" s="1"/>
  <c r="G28" i="25"/>
  <c r="X10" i="23"/>
  <c r="Q80" i="23"/>
  <c r="P10" i="23"/>
  <c r="Q9" i="23" s="1"/>
  <c r="Q8" i="23" s="1"/>
  <c r="W11" i="23" s="1"/>
  <c r="P50" i="23"/>
  <c r="S92" i="23"/>
  <c r="P182" i="19"/>
  <c r="P144" i="19"/>
  <c r="Q144" i="19" s="1"/>
  <c r="S144" i="19" s="1"/>
  <c r="T144" i="19" s="1"/>
  <c r="P110" i="19"/>
  <c r="P158" i="19"/>
  <c r="Q158" i="19" s="1"/>
  <c r="S158" i="19" s="1"/>
  <c r="T158" i="19" s="1"/>
  <c r="P152" i="19"/>
  <c r="Q152" i="19" s="1"/>
  <c r="S152" i="19" s="1"/>
  <c r="T152" i="19" s="1"/>
  <c r="P148" i="19"/>
  <c r="Q148" i="19" s="1"/>
  <c r="S148" i="19" s="1"/>
  <c r="T148" i="19" s="1"/>
  <c r="P102" i="19"/>
  <c r="P141" i="19"/>
  <c r="Q141" i="19" s="1"/>
  <c r="S141" i="19" s="1"/>
  <c r="T141" i="19" s="1"/>
  <c r="P121" i="19"/>
  <c r="Q96" i="19"/>
  <c r="P87" i="19"/>
  <c r="Q87" i="19" s="1"/>
  <c r="S87" i="19" s="1"/>
  <c r="T87" i="19" s="1"/>
  <c r="Q376" i="17"/>
  <c r="P132" i="17"/>
  <c r="Q132" i="17" s="1"/>
  <c r="S132" i="17" s="1"/>
  <c r="T132" i="17" s="1"/>
  <c r="P128" i="17"/>
  <c r="Q128" i="17" s="1"/>
  <c r="S128" i="17" s="1"/>
  <c r="T128" i="17" s="1"/>
  <c r="Q190" i="17"/>
  <c r="P145" i="17"/>
  <c r="Q173" i="17"/>
  <c r="P196" i="17"/>
  <c r="P136" i="17"/>
  <c r="Q136" i="17" s="1"/>
  <c r="S136" i="17" s="1"/>
  <c r="T136" i="17" s="1"/>
  <c r="Q115" i="17"/>
  <c r="P200" i="17"/>
  <c r="Q110" i="17"/>
  <c r="Q91" i="17"/>
  <c r="P17" i="17"/>
  <c r="Q17" i="17" s="1"/>
  <c r="S17" i="17" s="1"/>
  <c r="T17" i="17" s="1"/>
  <c r="P68" i="17"/>
  <c r="Q68" i="17" s="1"/>
  <c r="S68" i="17" s="1"/>
  <c r="T68" i="17" s="1"/>
  <c r="P52" i="17"/>
  <c r="Q52" i="17" s="1"/>
  <c r="S52" i="17" s="1"/>
  <c r="T52" i="17" s="1"/>
  <c r="P29" i="17"/>
  <c r="Q29" i="17" s="1"/>
  <c r="S29" i="17" s="1"/>
  <c r="T29" i="17" s="1"/>
  <c r="P41" i="17"/>
  <c r="Q41" i="17" s="1"/>
  <c r="S41" i="17" s="1"/>
  <c r="T41" i="17" s="1"/>
  <c r="P48" i="17"/>
  <c r="Q48" i="17" s="1"/>
  <c r="S48" i="17" s="1"/>
  <c r="T48" i="17" s="1"/>
  <c r="P72" i="17"/>
  <c r="P65" i="17"/>
  <c r="P61" i="17" s="1"/>
  <c r="Q61" i="17" s="1"/>
  <c r="S61" i="17" s="1"/>
  <c r="T61" i="17" s="1"/>
  <c r="P35" i="17"/>
  <c r="Q35" i="17" s="1"/>
  <c r="S35" i="17" s="1"/>
  <c r="T35" i="17" s="1"/>
  <c r="P24" i="17"/>
  <c r="Q24" i="17" s="1"/>
  <c r="S24" i="17" s="1"/>
  <c r="T24" i="17" s="1"/>
  <c r="P10" i="17"/>
  <c r="Q10" i="17" s="1"/>
  <c r="S10" i="17" s="1"/>
  <c r="T10" i="17" s="1"/>
  <c r="S372" i="15"/>
  <c r="S366" i="15"/>
  <c r="T366" i="15" s="1"/>
  <c r="S381" i="15"/>
  <c r="T381" i="15" s="1"/>
  <c r="Q79" i="23" l="1"/>
  <c r="Q81" i="25"/>
  <c r="S81" i="25" s="1"/>
  <c r="S85" i="25"/>
  <c r="Q85" i="25"/>
  <c r="Q70" i="25"/>
  <c r="S70" i="25" s="1"/>
  <c r="T70" i="25" s="1"/>
  <c r="Q69" i="25"/>
  <c r="Q49" i="23"/>
  <c r="Q50" i="23"/>
  <c r="S50" i="23" s="1"/>
  <c r="T50" i="23" s="1"/>
  <c r="B99" i="31"/>
  <c r="Q63" i="25"/>
  <c r="Q49" i="25"/>
  <c r="Q50" i="25"/>
  <c r="S50" i="25" s="1"/>
  <c r="T50" i="25" s="1"/>
  <c r="S95" i="25"/>
  <c r="Q93" i="25"/>
  <c r="Q9" i="25"/>
  <c r="W26" i="25" s="1"/>
  <c r="Q10" i="25"/>
  <c r="S10" i="25" s="1"/>
  <c r="T10" i="25" s="1"/>
  <c r="Q56" i="25"/>
  <c r="Q57" i="25"/>
  <c r="S57" i="25" s="1"/>
  <c r="T57" i="25" s="1"/>
  <c r="Q99" i="25"/>
  <c r="Q181" i="19"/>
  <c r="Q180" i="19" s="1"/>
  <c r="Q182" i="19"/>
  <c r="S182" i="19" s="1"/>
  <c r="T182" i="19" s="1"/>
  <c r="Q101" i="19"/>
  <c r="Q102" i="19"/>
  <c r="S102" i="19" s="1"/>
  <c r="T102" i="19" s="1"/>
  <c r="Q109" i="19"/>
  <c r="Q110" i="19"/>
  <c r="S110" i="19" s="1"/>
  <c r="T110" i="19" s="1"/>
  <c r="Q120" i="19"/>
  <c r="Q121" i="19"/>
  <c r="S121" i="19" s="1"/>
  <c r="T121" i="19" s="1"/>
  <c r="Q165" i="19"/>
  <c r="Q164" i="19" s="1"/>
  <c r="Q166" i="19"/>
  <c r="S166" i="19" s="1"/>
  <c r="Q375" i="17"/>
  <c r="Q374" i="17" s="1"/>
  <c r="S374" i="17" s="1"/>
  <c r="Q144" i="17"/>
  <c r="Q145" i="17"/>
  <c r="S145" i="17" s="1"/>
  <c r="T145" i="17" s="1"/>
  <c r="Q364" i="17"/>
  <c r="S364" i="17" s="1"/>
  <c r="T364" i="17" s="1"/>
  <c r="Q365" i="17"/>
  <c r="S365" i="17" s="1"/>
  <c r="T365" i="17" s="1"/>
  <c r="Q71" i="17"/>
  <c r="Q72" i="17"/>
  <c r="S72" i="17" s="1"/>
  <c r="T72" i="17" s="1"/>
  <c r="Q199" i="17"/>
  <c r="Q200" i="17"/>
  <c r="S200" i="17" s="1"/>
  <c r="T200" i="17" s="1"/>
  <c r="Q106" i="17"/>
  <c r="Q195" i="17"/>
  <c r="Q196" i="17"/>
  <c r="S196" i="17" s="1"/>
  <c r="T196" i="17" s="1"/>
  <c r="S95" i="23"/>
  <c r="Q284" i="17"/>
  <c r="S284" i="17" s="1"/>
  <c r="T284" i="17" s="1"/>
  <c r="B78" i="31"/>
  <c r="I77" i="38" s="1"/>
  <c r="Q163" i="19"/>
  <c r="Q21" i="19"/>
  <c r="S195" i="19"/>
  <c r="T195" i="19" s="1"/>
  <c r="S63" i="25"/>
  <c r="B68" i="31"/>
  <c r="W12" i="25"/>
  <c r="Q80" i="25"/>
  <c r="B46" i="31"/>
  <c r="Q76" i="23"/>
  <c r="W13" i="23"/>
  <c r="S174" i="19"/>
  <c r="B89" i="31"/>
  <c r="I88" i="38" s="1"/>
  <c r="Q255" i="17"/>
  <c r="B118" i="31"/>
  <c r="I117" i="38" s="1"/>
  <c r="G29" i="25"/>
  <c r="P29" i="25" s="1"/>
  <c r="P28" i="25"/>
  <c r="S80" i="23"/>
  <c r="S79" i="23"/>
  <c r="S181" i="19"/>
  <c r="T181" i="19" s="1"/>
  <c r="S194" i="19"/>
  <c r="T194" i="19" s="1"/>
  <c r="Q193" i="19"/>
  <c r="S193" i="19" s="1"/>
  <c r="T193" i="19" s="1"/>
  <c r="Q136" i="19"/>
  <c r="Q135" i="19" s="1"/>
  <c r="S376" i="17"/>
  <c r="Q121" i="17"/>
  <c r="S110" i="17"/>
  <c r="T110" i="17" s="1"/>
  <c r="Q47" i="17"/>
  <c r="Q16" i="17"/>
  <c r="S255" i="17" l="1"/>
  <c r="T255" i="17" s="1"/>
  <c r="Q210" i="17"/>
  <c r="F46" i="31"/>
  <c r="I45" i="38"/>
  <c r="M45" i="38" s="1"/>
  <c r="F68" i="31"/>
  <c r="I67" i="38"/>
  <c r="M67" i="38" s="1"/>
  <c r="I116" i="38"/>
  <c r="M117" i="38"/>
  <c r="M116" i="38" s="1"/>
  <c r="F99" i="31"/>
  <c r="G99" i="31" s="1"/>
  <c r="I98" i="38"/>
  <c r="M98" i="38" s="1"/>
  <c r="N98" i="38" s="1"/>
  <c r="Q8" i="25"/>
  <c r="W10" i="25" s="1"/>
  <c r="Q68" i="25"/>
  <c r="B92" i="31"/>
  <c r="I91" i="38" s="1"/>
  <c r="W16" i="25"/>
  <c r="Q98" i="25"/>
  <c r="S99" i="25"/>
  <c r="T99" i="25" s="1"/>
  <c r="S375" i="17"/>
  <c r="B105" i="31"/>
  <c r="I104" i="38" s="1"/>
  <c r="M104" i="38" s="1"/>
  <c r="N104" i="38" s="1"/>
  <c r="S80" i="25"/>
  <c r="P24" i="25"/>
  <c r="Q24" i="25" s="1"/>
  <c r="S24" i="25" s="1"/>
  <c r="T24" i="25" s="1"/>
  <c r="S180" i="19"/>
  <c r="T180" i="19" s="1"/>
  <c r="B106" i="31"/>
  <c r="B77" i="31"/>
  <c r="I76" i="38" s="1"/>
  <c r="F118" i="31"/>
  <c r="F117" i="31" s="1"/>
  <c r="B117" i="31"/>
  <c r="I23" i="32" s="1"/>
  <c r="M23" i="32" s="1"/>
  <c r="F106" i="31" l="1"/>
  <c r="G106" i="31" s="1"/>
  <c r="I105" i="38"/>
  <c r="M105" i="38" s="1"/>
  <c r="N105" i="38" s="1"/>
  <c r="B109" i="31"/>
  <c r="W17" i="25"/>
  <c r="W14" i="25" s="1"/>
  <c r="S98" i="25"/>
  <c r="T98" i="25" s="1"/>
  <c r="Q92" i="25"/>
  <c r="R312" i="15"/>
  <c r="D98" i="31" s="1"/>
  <c r="Q307" i="15"/>
  <c r="S307" i="15" s="1"/>
  <c r="P305" i="15"/>
  <c r="Q305" i="15" s="1"/>
  <c r="S305" i="15" s="1"/>
  <c r="P303" i="15"/>
  <c r="P302" i="15" s="1"/>
  <c r="Q302" i="15" s="1"/>
  <c r="S302" i="15" s="1"/>
  <c r="T302" i="15" s="1"/>
  <c r="P297" i="15"/>
  <c r="P289" i="15"/>
  <c r="Q289" i="15" s="1"/>
  <c r="S289" i="15" s="1"/>
  <c r="P286" i="15"/>
  <c r="Q286" i="15" s="1"/>
  <c r="S286" i="15" s="1"/>
  <c r="P284" i="15"/>
  <c r="Q284" i="15" s="1"/>
  <c r="S284" i="15" s="1"/>
  <c r="P273" i="15"/>
  <c r="Q273" i="15" s="1"/>
  <c r="S273" i="15" s="1"/>
  <c r="P269" i="15"/>
  <c r="P268" i="15"/>
  <c r="P266" i="15"/>
  <c r="G267" i="15" s="1"/>
  <c r="P267" i="15" s="1"/>
  <c r="P265" i="15"/>
  <c r="P261" i="15"/>
  <c r="P260" i="15"/>
  <c r="P259" i="15"/>
  <c r="P258" i="15"/>
  <c r="R252" i="15"/>
  <c r="Q107" i="15"/>
  <c r="S107" i="15" s="1"/>
  <c r="T107" i="15" s="1"/>
  <c r="Q100" i="15"/>
  <c r="P90" i="15"/>
  <c r="P89" i="15"/>
  <c r="P88" i="15"/>
  <c r="P82" i="15"/>
  <c r="P81" i="15"/>
  <c r="P79" i="15"/>
  <c r="P78" i="15"/>
  <c r="P77" i="15"/>
  <c r="P74" i="15"/>
  <c r="P73" i="15"/>
  <c r="P72" i="15"/>
  <c r="P69" i="15"/>
  <c r="P68" i="15" s="1"/>
  <c r="Q68" i="15" s="1"/>
  <c r="S68" i="15" s="1"/>
  <c r="T68" i="15" s="1"/>
  <c r="P66" i="15"/>
  <c r="P65" i="15"/>
  <c r="P64" i="15"/>
  <c r="P63" i="15"/>
  <c r="P55" i="15"/>
  <c r="P52" i="15"/>
  <c r="P51" i="15"/>
  <c r="P50" i="15"/>
  <c r="P49" i="15"/>
  <c r="P44" i="15"/>
  <c r="P43" i="15" s="1"/>
  <c r="Q43" i="15" s="1"/>
  <c r="S43" i="15" s="1"/>
  <c r="T43" i="15" s="1"/>
  <c r="P42" i="15"/>
  <c r="P41" i="15" s="1"/>
  <c r="Q41" i="15" s="1"/>
  <c r="S41" i="15" s="1"/>
  <c r="T41" i="15" s="1"/>
  <c r="P40" i="15"/>
  <c r="P39" i="15"/>
  <c r="P36" i="15"/>
  <c r="P35" i="15"/>
  <c r="P34" i="15"/>
  <c r="P31" i="15"/>
  <c r="P30" i="15"/>
  <c r="P29" i="15"/>
  <c r="P28" i="15"/>
  <c r="P26" i="15"/>
  <c r="P25" i="15" s="1"/>
  <c r="Q25" i="15" s="1"/>
  <c r="S25" i="15" s="1"/>
  <c r="T25" i="15" s="1"/>
  <c r="P24" i="15"/>
  <c r="P23" i="15" s="1"/>
  <c r="Q23" i="15" s="1"/>
  <c r="S23" i="15" s="1"/>
  <c r="T23" i="15" s="1"/>
  <c r="P17" i="15"/>
  <c r="P16" i="15"/>
  <c r="P15" i="15"/>
  <c r="P14" i="15"/>
  <c r="P13" i="15"/>
  <c r="O17" i="19"/>
  <c r="P10" i="19"/>
  <c r="Q10" i="19" s="1"/>
  <c r="S10" i="19" s="1"/>
  <c r="T10" i="19" s="1"/>
  <c r="F109" i="31" l="1"/>
  <c r="I108" i="38"/>
  <c r="M108" i="38" s="1"/>
  <c r="P54" i="15"/>
  <c r="Q296" i="15"/>
  <c r="Q297" i="15"/>
  <c r="S297" i="15" s="1"/>
  <c r="T297" i="15" s="1"/>
  <c r="P71" i="15"/>
  <c r="Q71" i="15" s="1"/>
  <c r="S71" i="15" s="1"/>
  <c r="T71" i="15" s="1"/>
  <c r="P76" i="15"/>
  <c r="Q76" i="15" s="1"/>
  <c r="S76" i="15" s="1"/>
  <c r="T76" i="15" s="1"/>
  <c r="P314" i="15"/>
  <c r="Q304" i="15"/>
  <c r="S320" i="15"/>
  <c r="Q283" i="15"/>
  <c r="P300" i="15"/>
  <c r="R251" i="15"/>
  <c r="D76" i="31"/>
  <c r="P270" i="15"/>
  <c r="Q270" i="15" s="1"/>
  <c r="S270" i="15" s="1"/>
  <c r="T270" i="15" s="1"/>
  <c r="P280" i="15"/>
  <c r="Q280" i="15" s="1"/>
  <c r="S280" i="15" s="1"/>
  <c r="T280" i="15" s="1"/>
  <c r="P292" i="15"/>
  <c r="Q292" i="15" s="1"/>
  <c r="S292" i="15" s="1"/>
  <c r="T292" i="15" s="1"/>
  <c r="P276" i="15"/>
  <c r="P257" i="15"/>
  <c r="Q257" i="15" s="1"/>
  <c r="S257" i="15" s="1"/>
  <c r="T257" i="15" s="1"/>
  <c r="P80" i="15"/>
  <c r="Q80" i="15" s="1"/>
  <c r="S80" i="15" s="1"/>
  <c r="T80" i="15" s="1"/>
  <c r="P264" i="15"/>
  <c r="Q264" i="15" s="1"/>
  <c r="S264" i="15" s="1"/>
  <c r="T264" i="15" s="1"/>
  <c r="Q216" i="15"/>
  <c r="S216" i="15" s="1"/>
  <c r="Q230" i="15"/>
  <c r="S230" i="15" s="1"/>
  <c r="T230" i="15" s="1"/>
  <c r="Q237" i="15"/>
  <c r="S237" i="15" s="1"/>
  <c r="Q223" i="15"/>
  <c r="S223" i="15" s="1"/>
  <c r="P87" i="15"/>
  <c r="Q87" i="15" s="1"/>
  <c r="S87" i="15" s="1"/>
  <c r="T87" i="15" s="1"/>
  <c r="Q106" i="15"/>
  <c r="P38" i="15"/>
  <c r="P33" i="15"/>
  <c r="P27" i="15"/>
  <c r="P48" i="15"/>
  <c r="P12" i="15"/>
  <c r="Q11" i="15" s="1"/>
  <c r="Q8" i="15" s="1"/>
  <c r="Q70" i="15" l="1"/>
  <c r="Q275" i="15"/>
  <c r="Q276" i="15"/>
  <c r="S276" i="15" s="1"/>
  <c r="Q53" i="15"/>
  <c r="Q54" i="15"/>
  <c r="S54" i="15" s="1"/>
  <c r="T54" i="15" s="1"/>
  <c r="Q313" i="15"/>
  <c r="Q312" i="15" s="1"/>
  <c r="Q314" i="15"/>
  <c r="S314" i="15" s="1"/>
  <c r="T314" i="15" s="1"/>
  <c r="Q32" i="15"/>
  <c r="Q33" i="15"/>
  <c r="S33" i="15" s="1"/>
  <c r="T33" i="15" s="1"/>
  <c r="Q47" i="15"/>
  <c r="Q48" i="15"/>
  <c r="S48" i="15" s="1"/>
  <c r="T48" i="15" s="1"/>
  <c r="Q22" i="15"/>
  <c r="Q27" i="15"/>
  <c r="S27" i="15" s="1"/>
  <c r="T27" i="15" s="1"/>
  <c r="Q37" i="15"/>
  <c r="Q38" i="15"/>
  <c r="S38" i="15" s="1"/>
  <c r="T38" i="15" s="1"/>
  <c r="Q299" i="15"/>
  <c r="Q300" i="15"/>
  <c r="S300" i="15" s="1"/>
  <c r="T300" i="15" s="1"/>
  <c r="Q75" i="15"/>
  <c r="Q263" i="15"/>
  <c r="Q319" i="15"/>
  <c r="Q215" i="15"/>
  <c r="S215" i="15" s="1"/>
  <c r="T215" i="15" s="1"/>
  <c r="Q236" i="15"/>
  <c r="B98" i="31" l="1"/>
  <c r="S312" i="15"/>
  <c r="T312" i="15" s="1"/>
  <c r="S313" i="15"/>
  <c r="T313" i="15" s="1"/>
  <c r="Q105" i="15"/>
  <c r="O25" i="22"/>
  <c r="P24" i="22"/>
  <c r="P23" i="22" s="1"/>
  <c r="B90" i="29" s="1"/>
  <c r="O11" i="22"/>
  <c r="O22" i="20"/>
  <c r="O14" i="20"/>
  <c r="O11" i="20"/>
  <c r="O10" i="20"/>
  <c r="O27" i="18"/>
  <c r="P27" i="18" s="1"/>
  <c r="R27" i="18" s="1"/>
  <c r="O17" i="18"/>
  <c r="O10" i="18"/>
  <c r="P10" i="18" s="1"/>
  <c r="R10" i="18" s="1"/>
  <c r="S10" i="18" s="1"/>
  <c r="Q81" i="16"/>
  <c r="O95" i="16"/>
  <c r="Q92" i="16"/>
  <c r="Q91" i="16" s="1"/>
  <c r="Q90" i="16" s="1"/>
  <c r="O84" i="16"/>
  <c r="O83" i="16" s="1"/>
  <c r="O80" i="16"/>
  <c r="O79" i="16" s="1"/>
  <c r="O75" i="16"/>
  <c r="O74" i="16" s="1"/>
  <c r="P74" i="16" s="1"/>
  <c r="R74" i="16" s="1"/>
  <c r="S74" i="16" s="1"/>
  <c r="O73" i="16"/>
  <c r="O72" i="16"/>
  <c r="O71" i="16"/>
  <c r="O66" i="16"/>
  <c r="P45" i="16"/>
  <c r="O44" i="16"/>
  <c r="O43" i="16"/>
  <c r="O42" i="16"/>
  <c r="O41" i="16"/>
  <c r="O40" i="16"/>
  <c r="O39" i="16"/>
  <c r="O38" i="16"/>
  <c r="O37" i="16"/>
  <c r="O36" i="16"/>
  <c r="O35" i="16"/>
  <c r="O34" i="16"/>
  <c r="O33" i="16"/>
  <c r="O30" i="16"/>
  <c r="O29" i="16"/>
  <c r="O28" i="16"/>
  <c r="O27" i="16"/>
  <c r="O26" i="16"/>
  <c r="O25" i="16"/>
  <c r="O24" i="16"/>
  <c r="O23" i="16"/>
  <c r="O22" i="16"/>
  <c r="O21" i="16"/>
  <c r="O20" i="16"/>
  <c r="O19" i="16"/>
  <c r="O18" i="16"/>
  <c r="O17" i="16"/>
  <c r="O16" i="16"/>
  <c r="O15" i="16"/>
  <c r="O14" i="16"/>
  <c r="O13" i="16"/>
  <c r="O12" i="16"/>
  <c r="O11" i="16"/>
  <c r="P82" i="16" l="1"/>
  <c r="P83" i="16"/>
  <c r="R83" i="16" s="1"/>
  <c r="S83" i="16" s="1"/>
  <c r="F90" i="29"/>
  <c r="B105" i="38"/>
  <c r="F105" i="38" s="1"/>
  <c r="O94" i="16"/>
  <c r="P93" i="16" s="1"/>
  <c r="P94" i="16"/>
  <c r="R94" i="16" s="1"/>
  <c r="O10" i="16"/>
  <c r="F98" i="31"/>
  <c r="G98" i="31" s="1"/>
  <c r="I97" i="38"/>
  <c r="M97" i="38" s="1"/>
  <c r="N97" i="38" s="1"/>
  <c r="O65" i="16"/>
  <c r="P65" i="16" s="1"/>
  <c r="R93" i="16"/>
  <c r="W13" i="16"/>
  <c r="P81" i="16"/>
  <c r="W11" i="16"/>
  <c r="B18" i="29"/>
  <c r="B17" i="38" s="1"/>
  <c r="O70" i="16"/>
  <c r="P22" i="22"/>
  <c r="R23" i="22"/>
  <c r="R24" i="22"/>
  <c r="P92" i="16"/>
  <c r="B88" i="29" s="1"/>
  <c r="B103" i="38" s="1"/>
  <c r="F103" i="38" s="1"/>
  <c r="P69" i="16" l="1"/>
  <c r="P68" i="16" s="1"/>
  <c r="P70" i="16"/>
  <c r="R70" i="16" s="1"/>
  <c r="S70" i="16" s="1"/>
  <c r="P10" i="16"/>
  <c r="R10" i="16" s="1"/>
  <c r="S10" i="16" s="1"/>
  <c r="F88" i="29"/>
  <c r="F17" i="38"/>
  <c r="G17" i="38" s="1"/>
  <c r="P21" i="22"/>
  <c r="R21" i="22" s="1"/>
  <c r="R22" i="22"/>
  <c r="R92" i="16"/>
  <c r="R91" i="16" s="1"/>
  <c r="R90" i="16" s="1"/>
  <c r="P91" i="16"/>
  <c r="P90" i="16" s="1"/>
  <c r="R56" i="13" l="1"/>
  <c r="P86" i="13" l="1"/>
  <c r="P85" i="13" s="1"/>
  <c r="Q85" i="13" s="1"/>
  <c r="S85" i="13" s="1"/>
  <c r="T85" i="13" s="1"/>
  <c r="Q70" i="13"/>
  <c r="S70" i="13" s="1"/>
  <c r="Q62" i="13"/>
  <c r="S55" i="13"/>
  <c r="T55" i="13" s="1"/>
  <c r="P54" i="13"/>
  <c r="P53" i="13" s="1"/>
  <c r="Q53" i="13" s="1"/>
  <c r="S53" i="13" s="1"/>
  <c r="T53" i="13" s="1"/>
  <c r="P51" i="13"/>
  <c r="P50" i="13" s="1"/>
  <c r="P48" i="13"/>
  <c r="P47" i="13"/>
  <c r="P44" i="13"/>
  <c r="P43" i="13" s="1"/>
  <c r="Q43" i="13" s="1"/>
  <c r="S43" i="13" s="1"/>
  <c r="T43" i="13" s="1"/>
  <c r="P41" i="13"/>
  <c r="P40" i="13" s="1"/>
  <c r="Q40" i="13" s="1"/>
  <c r="S40" i="13" s="1"/>
  <c r="T40" i="13" s="1"/>
  <c r="P38" i="13"/>
  <c r="P34" i="13"/>
  <c r="P33" i="13" s="1"/>
  <c r="Q33" i="13" s="1"/>
  <c r="S33" i="13" s="1"/>
  <c r="T33" i="13" s="1"/>
  <c r="P31" i="13"/>
  <c r="P30" i="13" s="1"/>
  <c r="Q30" i="13" s="1"/>
  <c r="S30" i="13" s="1"/>
  <c r="T30" i="13" s="1"/>
  <c r="P29" i="13"/>
  <c r="P28" i="13" s="1"/>
  <c r="Q28" i="13" s="1"/>
  <c r="S28" i="13" s="1"/>
  <c r="T28" i="13" s="1"/>
  <c r="P26" i="13"/>
  <c r="P25" i="13" s="1"/>
  <c r="Q25" i="13" s="1"/>
  <c r="S25" i="13" s="1"/>
  <c r="T25" i="13" s="1"/>
  <c r="P23" i="13"/>
  <c r="P22" i="13" s="1"/>
  <c r="Q22" i="13" s="1"/>
  <c r="S22" i="13" s="1"/>
  <c r="T22" i="13" s="1"/>
  <c r="P19" i="13"/>
  <c r="P18" i="13"/>
  <c r="P16" i="13"/>
  <c r="P15" i="13" s="1"/>
  <c r="P83" i="11"/>
  <c r="P82" i="11"/>
  <c r="P81" i="11"/>
  <c r="P80" i="11"/>
  <c r="R166" i="11"/>
  <c r="Q52" i="11"/>
  <c r="P101" i="11"/>
  <c r="P100" i="11"/>
  <c r="P99" i="11"/>
  <c r="P98" i="11" s="1"/>
  <c r="Q98" i="11" s="1"/>
  <c r="S98" i="11" s="1"/>
  <c r="P97" i="11"/>
  <c r="P96" i="11"/>
  <c r="P95" i="11"/>
  <c r="P94" i="11"/>
  <c r="P93" i="11"/>
  <c r="P91" i="11"/>
  <c r="P90" i="11"/>
  <c r="P89" i="11"/>
  <c r="P88" i="11" s="1"/>
  <c r="Q88" i="11" s="1"/>
  <c r="S88" i="11" s="1"/>
  <c r="P207" i="11"/>
  <c r="P206" i="11" s="1"/>
  <c r="Q206" i="11" s="1"/>
  <c r="S206" i="11" s="1"/>
  <c r="T206" i="11" s="1"/>
  <c r="P205" i="11"/>
  <c r="P204" i="11" s="1"/>
  <c r="Q204" i="11" s="1"/>
  <c r="S204" i="11" s="1"/>
  <c r="T204" i="11" s="1"/>
  <c r="P198" i="11"/>
  <c r="P197" i="11"/>
  <c r="P196" i="11" s="1"/>
  <c r="Q196" i="11" s="1"/>
  <c r="S196" i="11" s="1"/>
  <c r="P195" i="11"/>
  <c r="P194" i="11"/>
  <c r="P191" i="11"/>
  <c r="P190" i="11"/>
  <c r="P189" i="11"/>
  <c r="P188" i="11"/>
  <c r="P187" i="11"/>
  <c r="P184" i="11"/>
  <c r="P182" i="11"/>
  <c r="P181" i="11"/>
  <c r="P180" i="11"/>
  <c r="P179" i="11"/>
  <c r="P178" i="11"/>
  <c r="P177" i="11"/>
  <c r="P176" i="11"/>
  <c r="P175" i="11"/>
  <c r="P173" i="11" s="1"/>
  <c r="Q173" i="11" s="1"/>
  <c r="S173" i="11" s="1"/>
  <c r="T173" i="11" s="1"/>
  <c r="P172" i="11"/>
  <c r="P171" i="11" s="1"/>
  <c r="Q171" i="11" s="1"/>
  <c r="S171" i="11" s="1"/>
  <c r="P170" i="11"/>
  <c r="P169" i="11"/>
  <c r="R161" i="11"/>
  <c r="D96" i="31" s="1"/>
  <c r="P163" i="11"/>
  <c r="Q163" i="11" s="1"/>
  <c r="S163" i="11" s="1"/>
  <c r="T163" i="11" s="1"/>
  <c r="P160" i="11"/>
  <c r="P159" i="11"/>
  <c r="P158" i="11"/>
  <c r="P157" i="11"/>
  <c r="P154" i="11"/>
  <c r="P153" i="11" s="1"/>
  <c r="Q153" i="11" s="1"/>
  <c r="S153" i="11" s="1"/>
  <c r="T153" i="11" s="1"/>
  <c r="P152" i="11"/>
  <c r="P151" i="11" s="1"/>
  <c r="Q151" i="11" s="1"/>
  <c r="S151" i="11" s="1"/>
  <c r="T151" i="11" s="1"/>
  <c r="P149" i="11"/>
  <c r="P148" i="11" s="1"/>
  <c r="Q148" i="11" s="1"/>
  <c r="S148" i="11" s="1"/>
  <c r="T148" i="11" s="1"/>
  <c r="P147" i="11"/>
  <c r="P146" i="11" s="1"/>
  <c r="Q146" i="11" s="1"/>
  <c r="S146" i="11" s="1"/>
  <c r="T146" i="11" s="1"/>
  <c r="P144" i="11"/>
  <c r="P143" i="11" s="1"/>
  <c r="P141" i="11"/>
  <c r="P140" i="11"/>
  <c r="P139" i="11" s="1"/>
  <c r="Q139" i="11" s="1"/>
  <c r="S139" i="11" s="1"/>
  <c r="T139" i="11" s="1"/>
  <c r="P137" i="11"/>
  <c r="P136" i="11"/>
  <c r="P133" i="11"/>
  <c r="P132" i="11"/>
  <c r="P131" i="11"/>
  <c r="P130" i="11"/>
  <c r="P129" i="11"/>
  <c r="P128" i="11"/>
  <c r="P127" i="11"/>
  <c r="P124" i="11"/>
  <c r="P123" i="11"/>
  <c r="P120" i="11"/>
  <c r="P119" i="11"/>
  <c r="P115" i="11"/>
  <c r="P113" i="11" s="1"/>
  <c r="Q113" i="11" s="1"/>
  <c r="S113" i="11" s="1"/>
  <c r="T113" i="11" s="1"/>
  <c r="P114" i="11"/>
  <c r="P110" i="11"/>
  <c r="Q110" i="11" s="1"/>
  <c r="S110" i="11" s="1"/>
  <c r="T110" i="11" s="1"/>
  <c r="P106" i="11"/>
  <c r="P105" i="11" s="1"/>
  <c r="Q105" i="11" s="1"/>
  <c r="S105" i="11" s="1"/>
  <c r="T105" i="11" s="1"/>
  <c r="P75" i="11"/>
  <c r="P74" i="11"/>
  <c r="P73" i="11"/>
  <c r="P72" i="11"/>
  <c r="P70" i="11"/>
  <c r="P69" i="11"/>
  <c r="P68" i="11"/>
  <c r="P66" i="11"/>
  <c r="P65" i="11"/>
  <c r="P64" i="11"/>
  <c r="P63" i="11"/>
  <c r="P62" i="11"/>
  <c r="P61" i="11"/>
  <c r="P60" i="11"/>
  <c r="P56" i="11"/>
  <c r="Q56" i="11" s="1"/>
  <c r="S56" i="11" s="1"/>
  <c r="T56" i="11" s="1"/>
  <c r="P49" i="11"/>
  <c r="P48" i="11" s="1"/>
  <c r="Q48" i="11" s="1"/>
  <c r="S48" i="11" s="1"/>
  <c r="T48" i="11" s="1"/>
  <c r="P47" i="11"/>
  <c r="P46" i="11" s="1"/>
  <c r="Q46" i="11" s="1"/>
  <c r="S46" i="11" s="1"/>
  <c r="T46" i="11" s="1"/>
  <c r="P45" i="11"/>
  <c r="P44" i="11" s="1"/>
  <c r="Q44" i="11" s="1"/>
  <c r="S44" i="11" s="1"/>
  <c r="T44" i="11" s="1"/>
  <c r="P42" i="11"/>
  <c r="P41" i="11" s="1"/>
  <c r="Q41" i="11" s="1"/>
  <c r="S41" i="11" s="1"/>
  <c r="T41" i="11" s="1"/>
  <c r="P39" i="11"/>
  <c r="P38" i="11" s="1"/>
  <c r="Q38" i="11" s="1"/>
  <c r="S38" i="11" s="1"/>
  <c r="T38" i="11" s="1"/>
  <c r="P36" i="11"/>
  <c r="Q36" i="11" s="1"/>
  <c r="S36" i="11" s="1"/>
  <c r="T36" i="11" s="1"/>
  <c r="P35" i="11"/>
  <c r="P34" i="11" s="1"/>
  <c r="Q34" i="11" s="1"/>
  <c r="S34" i="11" s="1"/>
  <c r="T34" i="11" s="1"/>
  <c r="P33" i="11"/>
  <c r="P32" i="11" s="1"/>
  <c r="Q32" i="11" s="1"/>
  <c r="S32" i="11" s="1"/>
  <c r="T32" i="11" s="1"/>
  <c r="P19" i="11"/>
  <c r="P18" i="11" s="1"/>
  <c r="Q18" i="11" s="1"/>
  <c r="S18" i="11" s="1"/>
  <c r="P15" i="11"/>
  <c r="P14" i="11" s="1"/>
  <c r="Q14" i="11" s="1"/>
  <c r="S14" i="11" s="1"/>
  <c r="P13" i="11"/>
  <c r="P12" i="11" s="1"/>
  <c r="P15" i="9"/>
  <c r="P14" i="9" s="1"/>
  <c r="Q14" i="9" s="1"/>
  <c r="S14" i="9" s="1"/>
  <c r="R100" i="9"/>
  <c r="R97" i="9" s="1"/>
  <c r="P286" i="9"/>
  <c r="P285" i="9" s="1"/>
  <c r="Q285" i="9" s="1"/>
  <c r="S285" i="9" s="1"/>
  <c r="T285" i="9" s="1"/>
  <c r="P283" i="9"/>
  <c r="Q277" i="9" s="1"/>
  <c r="S277" i="9" s="1"/>
  <c r="P276" i="9"/>
  <c r="P275" i="9" s="1"/>
  <c r="S273" i="9"/>
  <c r="P272" i="9"/>
  <c r="P271" i="9" s="1"/>
  <c r="P238" i="9"/>
  <c r="P237" i="9"/>
  <c r="P236" i="9"/>
  <c r="P234" i="9"/>
  <c r="P233" i="9"/>
  <c r="P232" i="9"/>
  <c r="P230" i="9"/>
  <c r="P229" i="9"/>
  <c r="P228" i="9"/>
  <c r="P227" i="9"/>
  <c r="P224" i="9"/>
  <c r="P222" i="9"/>
  <c r="P221" i="9"/>
  <c r="P220" i="9"/>
  <c r="P218" i="9"/>
  <c r="P217" i="9"/>
  <c r="P216" i="9"/>
  <c r="P215" i="9"/>
  <c r="P213" i="9"/>
  <c r="P212" i="9"/>
  <c r="P211" i="9"/>
  <c r="P210" i="9"/>
  <c r="P207" i="9"/>
  <c r="P206" i="9"/>
  <c r="P205" i="9"/>
  <c r="P203" i="9"/>
  <c r="P202" i="9"/>
  <c r="P201" i="9"/>
  <c r="P200" i="9"/>
  <c r="P199" i="9"/>
  <c r="P197" i="9"/>
  <c r="P196" i="9"/>
  <c r="P195" i="9"/>
  <c r="P194" i="9"/>
  <c r="P192" i="9"/>
  <c r="P191" i="9" s="1"/>
  <c r="P189" i="9"/>
  <c r="P188" i="9"/>
  <c r="P187" i="9"/>
  <c r="P185" i="9"/>
  <c r="P184" i="9"/>
  <c r="P183" i="9"/>
  <c r="P178" i="9"/>
  <c r="P177" i="9"/>
  <c r="P176" i="9"/>
  <c r="P175" i="9"/>
  <c r="P173" i="9"/>
  <c r="P172" i="9"/>
  <c r="P171" i="9"/>
  <c r="P170" i="9"/>
  <c r="P168" i="9"/>
  <c r="P167" i="9"/>
  <c r="P166" i="9"/>
  <c r="P156" i="9"/>
  <c r="P155" i="9"/>
  <c r="P154" i="9"/>
  <c r="P153" i="9"/>
  <c r="P152" i="9"/>
  <c r="P150" i="9"/>
  <c r="P149" i="9"/>
  <c r="P147" i="9"/>
  <c r="P145" i="9"/>
  <c r="P144" i="9"/>
  <c r="P143" i="9"/>
  <c r="P142" i="9"/>
  <c r="P141" i="9"/>
  <c r="P139" i="9"/>
  <c r="P138" i="9"/>
  <c r="P137" i="9"/>
  <c r="P136" i="9"/>
  <c r="P134" i="9"/>
  <c r="P133" i="9"/>
  <c r="P131" i="9"/>
  <c r="P130" i="9"/>
  <c r="P129" i="9"/>
  <c r="P128" i="9"/>
  <c r="P126" i="9"/>
  <c r="P124" i="9"/>
  <c r="P123" i="9"/>
  <c r="P122" i="9"/>
  <c r="P120" i="9"/>
  <c r="P119" i="9"/>
  <c r="P118" i="9"/>
  <c r="P116" i="9"/>
  <c r="P115" i="9"/>
  <c r="P113" i="9"/>
  <c r="P112" i="9"/>
  <c r="P111" i="9"/>
  <c r="P110" i="9"/>
  <c r="P108" i="9"/>
  <c r="P107" i="9"/>
  <c r="P104" i="9"/>
  <c r="P103" i="9"/>
  <c r="P94" i="9"/>
  <c r="P80" i="9"/>
  <c r="P79" i="9"/>
  <c r="P76" i="9"/>
  <c r="P73" i="9"/>
  <c r="P72" i="9"/>
  <c r="P71" i="9"/>
  <c r="P68" i="9"/>
  <c r="P67" i="9"/>
  <c r="P64" i="9"/>
  <c r="P63" i="9" s="1"/>
  <c r="P50" i="9"/>
  <c r="P49" i="9" s="1"/>
  <c r="Q49" i="9" s="1"/>
  <c r="S49" i="9" s="1"/>
  <c r="T49" i="9" s="1"/>
  <c r="P48" i="9"/>
  <c r="P47" i="9"/>
  <c r="P46" i="9"/>
  <c r="P44" i="9"/>
  <c r="P43" i="9" s="1"/>
  <c r="Q43" i="9" s="1"/>
  <c r="S43" i="9" s="1"/>
  <c r="P41" i="9"/>
  <c r="P40" i="9"/>
  <c r="P39" i="9"/>
  <c r="P27" i="9"/>
  <c r="P28" i="9"/>
  <c r="G29" i="9" s="1"/>
  <c r="P30" i="9"/>
  <c r="P31" i="9"/>
  <c r="P35" i="9"/>
  <c r="Q35" i="9" s="1"/>
  <c r="S35" i="9" s="1"/>
  <c r="T35" i="9" s="1"/>
  <c r="P22" i="9"/>
  <c r="P21" i="9"/>
  <c r="P19" i="9"/>
  <c r="P18" i="9" s="1"/>
  <c r="Q18" i="9" s="1"/>
  <c r="S18" i="9" s="1"/>
  <c r="P17" i="9"/>
  <c r="P16" i="9" s="1"/>
  <c r="Q16" i="9" s="1"/>
  <c r="S16" i="9" s="1"/>
  <c r="P13" i="9"/>
  <c r="P12" i="9" s="1"/>
  <c r="Q12" i="9" s="1"/>
  <c r="S12" i="9" s="1"/>
  <c r="S23" i="9"/>
  <c r="P108" i="7"/>
  <c r="P107" i="7" s="1"/>
  <c r="Q107" i="7" s="1"/>
  <c r="S107" i="7" s="1"/>
  <c r="T107" i="7" s="1"/>
  <c r="P76" i="7"/>
  <c r="P75" i="7" s="1"/>
  <c r="Q75" i="7" s="1"/>
  <c r="S75" i="7" s="1"/>
  <c r="T75" i="7" s="1"/>
  <c r="P72" i="7"/>
  <c r="P71" i="7"/>
  <c r="P70" i="7" s="1"/>
  <c r="Q70" i="7" s="1"/>
  <c r="S70" i="7" s="1"/>
  <c r="T70" i="7" s="1"/>
  <c r="P68" i="7"/>
  <c r="P67" i="7" s="1"/>
  <c r="Q67" i="7" s="1"/>
  <c r="S67" i="7" s="1"/>
  <c r="P66" i="7"/>
  <c r="P65" i="7" s="1"/>
  <c r="Q65" i="7" s="1"/>
  <c r="S65" i="7" s="1"/>
  <c r="T65" i="7" s="1"/>
  <c r="P63" i="7"/>
  <c r="P62" i="7" s="1"/>
  <c r="Q62" i="7" s="1"/>
  <c r="S62" i="7" s="1"/>
  <c r="T62" i="7" s="1"/>
  <c r="P61" i="7"/>
  <c r="P60" i="7" s="1"/>
  <c r="Q60" i="7" s="1"/>
  <c r="P55" i="7"/>
  <c r="P54" i="7" s="1"/>
  <c r="Q54" i="7" s="1"/>
  <c r="S54" i="7" s="1"/>
  <c r="T54" i="7" s="1"/>
  <c r="P58" i="7"/>
  <c r="P57" i="7" s="1"/>
  <c r="P52" i="7"/>
  <c r="P51" i="7" s="1"/>
  <c r="P45" i="7"/>
  <c r="P44" i="7" s="1"/>
  <c r="P35" i="7"/>
  <c r="P34" i="7" s="1"/>
  <c r="P31" i="7"/>
  <c r="P12" i="7"/>
  <c r="Q12" i="7" s="1"/>
  <c r="P327" i="5"/>
  <c r="P325" i="5"/>
  <c r="P324" i="5" s="1"/>
  <c r="Q324" i="5" s="1"/>
  <c r="S324" i="5" s="1"/>
  <c r="T324" i="5" s="1"/>
  <c r="P280" i="5"/>
  <c r="P278" i="5"/>
  <c r="P277" i="5" s="1"/>
  <c r="Q277" i="5" s="1"/>
  <c r="S277" i="5" s="1"/>
  <c r="T277" i="5" s="1"/>
  <c r="P276" i="5"/>
  <c r="P275" i="5"/>
  <c r="P273" i="5"/>
  <c r="P271" i="5"/>
  <c r="Q265" i="5"/>
  <c r="S265" i="5" s="1"/>
  <c r="T265" i="5" s="1"/>
  <c r="D82" i="31"/>
  <c r="R263" i="5"/>
  <c r="D94" i="31" s="1"/>
  <c r="P259" i="5"/>
  <c r="P258" i="5" s="1"/>
  <c r="Q258" i="5" s="1"/>
  <c r="S258" i="5" s="1"/>
  <c r="T258" i="5" s="1"/>
  <c r="P256" i="5"/>
  <c r="P255" i="5" s="1"/>
  <c r="Q255" i="5" s="1"/>
  <c r="S255" i="5" s="1"/>
  <c r="T255" i="5" s="1"/>
  <c r="P250" i="5"/>
  <c r="P248" i="5"/>
  <c r="P247" i="5"/>
  <c r="P244" i="5"/>
  <c r="P243" i="5" s="1"/>
  <c r="P241" i="5"/>
  <c r="P240" i="5" s="1"/>
  <c r="Q240" i="5" s="1"/>
  <c r="S240" i="5" s="1"/>
  <c r="T240" i="5" s="1"/>
  <c r="P239" i="5"/>
  <c r="P238" i="5" s="1"/>
  <c r="Q238" i="5" s="1"/>
  <c r="S238" i="5" s="1"/>
  <c r="T238" i="5" s="1"/>
  <c r="P236" i="5"/>
  <c r="P235" i="5" s="1"/>
  <c r="Q235" i="5" s="1"/>
  <c r="S235" i="5" s="1"/>
  <c r="T235" i="5" s="1"/>
  <c r="P233" i="5"/>
  <c r="P232" i="5"/>
  <c r="R206" i="5"/>
  <c r="D75" i="31" s="1"/>
  <c r="P216" i="5"/>
  <c r="P215" i="5"/>
  <c r="P214" i="5"/>
  <c r="P213" i="5"/>
  <c r="P212" i="5"/>
  <c r="P211" i="5"/>
  <c r="P210" i="5"/>
  <c r="P209" i="5"/>
  <c r="R133" i="5"/>
  <c r="P204" i="5"/>
  <c r="P203" i="5"/>
  <c r="P202" i="5"/>
  <c r="P200" i="5"/>
  <c r="P199" i="5"/>
  <c r="P196" i="5"/>
  <c r="P195" i="5"/>
  <c r="P193" i="5"/>
  <c r="P192" i="5"/>
  <c r="P184" i="5"/>
  <c r="P182" i="5"/>
  <c r="P178" i="5"/>
  <c r="P175" i="5"/>
  <c r="P172" i="5"/>
  <c r="P169" i="5"/>
  <c r="P167" i="5"/>
  <c r="P166" i="5"/>
  <c r="P165" i="5"/>
  <c r="P162" i="5"/>
  <c r="P160" i="5"/>
  <c r="P159" i="5"/>
  <c r="P158" i="5"/>
  <c r="P156" i="5"/>
  <c r="P155" i="5"/>
  <c r="P152" i="5"/>
  <c r="P151" i="5"/>
  <c r="P150" i="5"/>
  <c r="P149" i="5"/>
  <c r="P145" i="5"/>
  <c r="P142" i="5"/>
  <c r="P136" i="5"/>
  <c r="P110" i="5"/>
  <c r="P109" i="5"/>
  <c r="P99" i="5"/>
  <c r="P98" i="5" s="1"/>
  <c r="Q98" i="5" s="1"/>
  <c r="S98" i="5" s="1"/>
  <c r="T98" i="5" s="1"/>
  <c r="P95" i="5"/>
  <c r="P94" i="5" s="1"/>
  <c r="P92" i="5"/>
  <c r="P91" i="5" s="1"/>
  <c r="Q91" i="5" s="1"/>
  <c r="S91" i="5" s="1"/>
  <c r="T91" i="5" s="1"/>
  <c r="P89" i="5"/>
  <c r="P88" i="5"/>
  <c r="P72" i="5"/>
  <c r="P65" i="5"/>
  <c r="P62" i="5"/>
  <c r="P61" i="5" s="1"/>
  <c r="Q61" i="5" s="1"/>
  <c r="S61" i="5" s="1"/>
  <c r="T61" i="5" s="1"/>
  <c r="P59" i="5"/>
  <c r="P58" i="5" s="1"/>
  <c r="Q58" i="5" s="1"/>
  <c r="S58" i="5" s="1"/>
  <c r="T58" i="5" s="1"/>
  <c r="P57" i="5"/>
  <c r="P56" i="5"/>
  <c r="P53" i="5"/>
  <c r="P52" i="5"/>
  <c r="P51" i="5"/>
  <c r="P48" i="5"/>
  <c r="P47" i="5"/>
  <c r="P46" i="5"/>
  <c r="P45" i="5"/>
  <c r="P43" i="5"/>
  <c r="P42" i="5" s="1"/>
  <c r="Q42" i="5" s="1"/>
  <c r="S42" i="5" s="1"/>
  <c r="T42" i="5" s="1"/>
  <c r="P41" i="5"/>
  <c r="P40" i="5" s="1"/>
  <c r="Q40" i="5" s="1"/>
  <c r="S40" i="5" s="1"/>
  <c r="T40" i="5" s="1"/>
  <c r="P27" i="5"/>
  <c r="P26" i="5" s="1"/>
  <c r="Q26" i="5" s="1"/>
  <c r="S26" i="5" s="1"/>
  <c r="P25" i="5"/>
  <c r="P24" i="5" s="1"/>
  <c r="Q24" i="5" s="1"/>
  <c r="S24" i="5" s="1"/>
  <c r="P23" i="5"/>
  <c r="P22" i="5" s="1"/>
  <c r="Q22" i="5" s="1"/>
  <c r="S22" i="5" s="1"/>
  <c r="P21" i="5"/>
  <c r="P20" i="5" s="1"/>
  <c r="Q20" i="5" s="1"/>
  <c r="S20" i="5" s="1"/>
  <c r="P19" i="5"/>
  <c r="P18" i="5" s="1"/>
  <c r="Q18" i="5" s="1"/>
  <c r="S18" i="5" s="1"/>
  <c r="P17" i="5"/>
  <c r="P16" i="5" s="1"/>
  <c r="Q16" i="5" s="1"/>
  <c r="S16" i="5" s="1"/>
  <c r="P15" i="5"/>
  <c r="P14" i="5" s="1"/>
  <c r="Q14" i="5" s="1"/>
  <c r="S14" i="5" s="1"/>
  <c r="P13" i="5"/>
  <c r="P12" i="5" s="1"/>
  <c r="Q12" i="5" s="1"/>
  <c r="Q14" i="7"/>
  <c r="S14" i="7" s="1"/>
  <c r="T14" i="7" s="1"/>
  <c r="P315" i="3"/>
  <c r="P314" i="3" s="1"/>
  <c r="P310" i="3"/>
  <c r="P309" i="3"/>
  <c r="P261" i="3"/>
  <c r="P260" i="3"/>
  <c r="P259" i="3"/>
  <c r="P258" i="3"/>
  <c r="R312" i="3"/>
  <c r="R311" i="3" s="1"/>
  <c r="X23" i="3" s="1"/>
  <c r="P197" i="3"/>
  <c r="Q197" i="3" s="1"/>
  <c r="R201" i="3"/>
  <c r="X17" i="3" s="1"/>
  <c r="P193" i="3"/>
  <c r="P190" i="3"/>
  <c r="Q190" i="3" s="1"/>
  <c r="P188" i="3"/>
  <c r="P187" i="3" s="1"/>
  <c r="P186" i="3"/>
  <c r="P183" i="3"/>
  <c r="P182" i="3" s="1"/>
  <c r="P180" i="3"/>
  <c r="P179" i="3" s="1"/>
  <c r="P177" i="3"/>
  <c r="P174" i="3"/>
  <c r="P173" i="3"/>
  <c r="P171" i="3"/>
  <c r="P170" i="3"/>
  <c r="P167" i="3"/>
  <c r="P166" i="3"/>
  <c r="P162" i="3"/>
  <c r="P161" i="3"/>
  <c r="P148" i="3"/>
  <c r="P147" i="3" s="1"/>
  <c r="P146" i="3"/>
  <c r="P145" i="3"/>
  <c r="P144" i="3"/>
  <c r="P142" i="3"/>
  <c r="P141" i="3"/>
  <c r="P139" i="3"/>
  <c r="P138" i="3"/>
  <c r="P137" i="3"/>
  <c r="P134" i="3"/>
  <c r="P133" i="3" s="1"/>
  <c r="P131" i="3"/>
  <c r="P130" i="3" s="1"/>
  <c r="P128" i="3"/>
  <c r="P125" i="3"/>
  <c r="P124" i="3"/>
  <c r="P123" i="3"/>
  <c r="P122" i="3"/>
  <c r="P121" i="3"/>
  <c r="P120" i="3"/>
  <c r="P117" i="3"/>
  <c r="P116" i="3"/>
  <c r="P115" i="3"/>
  <c r="P114" i="3"/>
  <c r="P111" i="3"/>
  <c r="P108" i="3"/>
  <c r="P107" i="3" s="1"/>
  <c r="P106" i="3"/>
  <c r="P105" i="3" s="1"/>
  <c r="P104" i="3"/>
  <c r="P103" i="3" s="1"/>
  <c r="P102" i="3"/>
  <c r="P101" i="3"/>
  <c r="P98" i="3"/>
  <c r="P97" i="3" s="1"/>
  <c r="Q97" i="3" s="1"/>
  <c r="P95" i="3"/>
  <c r="P94" i="3" s="1"/>
  <c r="P93" i="3"/>
  <c r="P92" i="3" s="1"/>
  <c r="P91" i="3"/>
  <c r="P90" i="3" s="1"/>
  <c r="P89" i="3"/>
  <c r="P86" i="3"/>
  <c r="P82" i="3"/>
  <c r="P81" i="3"/>
  <c r="P79" i="3"/>
  <c r="P78" i="3" s="1"/>
  <c r="Q78" i="3" s="1"/>
  <c r="S66" i="3"/>
  <c r="T66" i="3" s="1"/>
  <c r="P65" i="3"/>
  <c r="P64" i="3" s="1"/>
  <c r="P61" i="3"/>
  <c r="P60" i="3" s="1"/>
  <c r="P59" i="3"/>
  <c r="P58" i="3"/>
  <c r="P57" i="3"/>
  <c r="P56" i="3"/>
  <c r="P55" i="3"/>
  <c r="P53" i="3"/>
  <c r="P52" i="3"/>
  <c r="P51" i="3"/>
  <c r="P50" i="3"/>
  <c r="P49" i="3"/>
  <c r="P47" i="3"/>
  <c r="P46" i="3"/>
  <c r="P45" i="3"/>
  <c r="P44" i="3"/>
  <c r="P43" i="3"/>
  <c r="P41" i="3"/>
  <c r="P40" i="3"/>
  <c r="P39" i="3"/>
  <c r="P38" i="3"/>
  <c r="P36" i="3"/>
  <c r="P34" i="3"/>
  <c r="P33" i="3"/>
  <c r="P31" i="3"/>
  <c r="P30" i="3" s="1"/>
  <c r="P29" i="3"/>
  <c r="P28" i="3"/>
  <c r="P27" i="3"/>
  <c r="P25" i="3"/>
  <c r="P24" i="3"/>
  <c r="P23" i="3"/>
  <c r="P22" i="3"/>
  <c r="P21" i="3"/>
  <c r="P20" i="3"/>
  <c r="P17" i="3"/>
  <c r="P16" i="3"/>
  <c r="P15" i="3"/>
  <c r="P14" i="3"/>
  <c r="P13" i="3"/>
  <c r="P12" i="3"/>
  <c r="P11" i="3"/>
  <c r="O23" i="12"/>
  <c r="O22" i="12" s="1"/>
  <c r="O15" i="12"/>
  <c r="O14" i="12" s="1"/>
  <c r="O54" i="10"/>
  <c r="O53" i="10" s="1"/>
  <c r="O48" i="10"/>
  <c r="O47" i="10" s="1"/>
  <c r="O37" i="10"/>
  <c r="O36" i="10" s="1"/>
  <c r="O31" i="10"/>
  <c r="O28" i="10"/>
  <c r="P27" i="10" s="1"/>
  <c r="O26" i="10"/>
  <c r="O25" i="10"/>
  <c r="O24" i="10"/>
  <c r="O23" i="10"/>
  <c r="O22" i="10"/>
  <c r="O21" i="10"/>
  <c r="O20" i="10"/>
  <c r="O19" i="10"/>
  <c r="O18" i="10"/>
  <c r="O17" i="10"/>
  <c r="O16" i="10"/>
  <c r="O15" i="10"/>
  <c r="O14" i="10"/>
  <c r="O13" i="10"/>
  <c r="O12" i="10"/>
  <c r="O11" i="10"/>
  <c r="O29" i="6"/>
  <c r="O28" i="6" s="1"/>
  <c r="P28" i="6" s="1"/>
  <c r="O11" i="6"/>
  <c r="O10" i="6" s="1"/>
  <c r="P10" i="6" s="1"/>
  <c r="R10" i="6" s="1"/>
  <c r="S10" i="6" s="1"/>
  <c r="O40" i="8"/>
  <c r="O34" i="8"/>
  <c r="O33" i="8" s="1"/>
  <c r="P33" i="8" s="1"/>
  <c r="O28" i="8"/>
  <c r="O27" i="8" s="1"/>
  <c r="O74" i="4"/>
  <c r="O73" i="4" s="1"/>
  <c r="O60" i="4"/>
  <c r="O59" i="4" s="1"/>
  <c r="O65" i="4"/>
  <c r="O64" i="4" s="1"/>
  <c r="O62" i="4"/>
  <c r="O68" i="4"/>
  <c r="O11" i="2"/>
  <c r="O10" i="2" s="1"/>
  <c r="O23" i="8"/>
  <c r="O19" i="8"/>
  <c r="O18" i="8"/>
  <c r="O17" i="8"/>
  <c r="O16" i="8"/>
  <c r="O15" i="8"/>
  <c r="O14" i="8"/>
  <c r="O12" i="8"/>
  <c r="O11" i="8"/>
  <c r="D63" i="29"/>
  <c r="V58" i="4" l="1"/>
  <c r="V62" i="4" s="1"/>
  <c r="P68" i="4"/>
  <c r="P191" i="5"/>
  <c r="Q12" i="11"/>
  <c r="S12" i="11" s="1"/>
  <c r="T12" i="11" s="1"/>
  <c r="P168" i="11"/>
  <c r="Q168" i="11" s="1"/>
  <c r="S168" i="11" s="1"/>
  <c r="T168" i="11" s="1"/>
  <c r="Q15" i="13"/>
  <c r="S15" i="13" s="1"/>
  <c r="T15" i="13" s="1"/>
  <c r="Q11" i="7"/>
  <c r="Q8" i="7" s="1"/>
  <c r="S12" i="7"/>
  <c r="T12" i="7" s="1"/>
  <c r="Q50" i="7"/>
  <c r="Q51" i="7"/>
  <c r="S51" i="7" s="1"/>
  <c r="Q49" i="13"/>
  <c r="S49" i="13" s="1"/>
  <c r="Q50" i="13"/>
  <c r="S50" i="13" s="1"/>
  <c r="P52" i="10"/>
  <c r="P53" i="10"/>
  <c r="R53" i="10" s="1"/>
  <c r="S53" i="10" s="1"/>
  <c r="R102" i="11"/>
  <c r="P46" i="10"/>
  <c r="P47" i="10"/>
  <c r="R47" i="10" s="1"/>
  <c r="S47" i="10" s="1"/>
  <c r="P194" i="5"/>
  <c r="Q194" i="5" s="1"/>
  <c r="S194" i="5" s="1"/>
  <c r="T194" i="5" s="1"/>
  <c r="Q56" i="7"/>
  <c r="Q57" i="7"/>
  <c r="S57" i="7" s="1"/>
  <c r="T57" i="7" s="1"/>
  <c r="P70" i="9"/>
  <c r="P198" i="5"/>
  <c r="Q198" i="5" s="1"/>
  <c r="S198" i="5" s="1"/>
  <c r="Q30" i="3"/>
  <c r="S30" i="3" s="1"/>
  <c r="T30" i="3" s="1"/>
  <c r="Q64" i="3"/>
  <c r="S64" i="3" s="1"/>
  <c r="Q179" i="3"/>
  <c r="S179" i="3" s="1"/>
  <c r="T179" i="3" s="1"/>
  <c r="Q261" i="3"/>
  <c r="S261" i="3" s="1"/>
  <c r="T261" i="3" s="1"/>
  <c r="Q94" i="3"/>
  <c r="S94" i="3" s="1"/>
  <c r="T94" i="3" s="1"/>
  <c r="Q103" i="3"/>
  <c r="S103" i="3" s="1"/>
  <c r="T103" i="3" s="1"/>
  <c r="Q133" i="3"/>
  <c r="S133" i="3" s="1"/>
  <c r="T133" i="3" s="1"/>
  <c r="Q182" i="3"/>
  <c r="S182" i="3" s="1"/>
  <c r="T182" i="3" s="1"/>
  <c r="Q193" i="3"/>
  <c r="S193" i="3" s="1"/>
  <c r="T193" i="3" s="1"/>
  <c r="Q92" i="3"/>
  <c r="S92" i="3" s="1"/>
  <c r="T92" i="3" s="1"/>
  <c r="Q130" i="3"/>
  <c r="S130" i="3" s="1"/>
  <c r="T130" i="3" s="1"/>
  <c r="Q105" i="3"/>
  <c r="S105" i="3" s="1"/>
  <c r="T105" i="3" s="1"/>
  <c r="Q147" i="3"/>
  <c r="S147" i="3" s="1"/>
  <c r="T147" i="3" s="1"/>
  <c r="Q60" i="3"/>
  <c r="S60" i="3" s="1"/>
  <c r="T60" i="3" s="1"/>
  <c r="Q90" i="3"/>
  <c r="S90" i="3" s="1"/>
  <c r="T90" i="3" s="1"/>
  <c r="Q107" i="3"/>
  <c r="S107" i="3" s="1"/>
  <c r="T107" i="3" s="1"/>
  <c r="Q187" i="3"/>
  <c r="S187" i="3" s="1"/>
  <c r="T187" i="3" s="1"/>
  <c r="Q314" i="3"/>
  <c r="S314" i="3" s="1"/>
  <c r="T314" i="3" s="1"/>
  <c r="O10" i="8"/>
  <c r="Q111" i="3"/>
  <c r="S111" i="3" s="1"/>
  <c r="T111" i="3" s="1"/>
  <c r="P176" i="3"/>
  <c r="X178" i="3"/>
  <c r="Y178" i="3" s="1"/>
  <c r="P181" i="9"/>
  <c r="Q181" i="9" s="1"/>
  <c r="S181" i="9" s="1"/>
  <c r="T181" i="9" s="1"/>
  <c r="P204" i="9"/>
  <c r="Q204" i="9" s="1"/>
  <c r="S204" i="9" s="1"/>
  <c r="T204" i="9" s="1"/>
  <c r="Q274" i="9"/>
  <c r="P135" i="9"/>
  <c r="Q135" i="9" s="1"/>
  <c r="S135" i="9" s="1"/>
  <c r="P140" i="9"/>
  <c r="Q140" i="9" s="1"/>
  <c r="S140" i="9" s="1"/>
  <c r="T140" i="9" s="1"/>
  <c r="P151" i="9"/>
  <c r="Q151" i="9" s="1"/>
  <c r="S151" i="9" s="1"/>
  <c r="T151" i="9" s="1"/>
  <c r="P169" i="9"/>
  <c r="P174" i="9"/>
  <c r="Q174" i="9" s="1"/>
  <c r="S174" i="9" s="1"/>
  <c r="P20" i="9"/>
  <c r="Q20" i="9" s="1"/>
  <c r="S20" i="9" s="1"/>
  <c r="P132" i="9"/>
  <c r="Q132" i="9" s="1"/>
  <c r="S132" i="9" s="1"/>
  <c r="P102" i="9"/>
  <c r="Q102" i="9" s="1"/>
  <c r="S102" i="9" s="1"/>
  <c r="T102" i="9" s="1"/>
  <c r="P109" i="9"/>
  <c r="P114" i="9"/>
  <c r="P125" i="9"/>
  <c r="Q125" i="9" s="1"/>
  <c r="S125" i="9" s="1"/>
  <c r="T125" i="9" s="1"/>
  <c r="P146" i="9"/>
  <c r="Q146" i="9" s="1"/>
  <c r="S146" i="9" s="1"/>
  <c r="P165" i="9"/>
  <c r="Q165" i="9" s="1"/>
  <c r="S165" i="9" s="1"/>
  <c r="T165" i="9" s="1"/>
  <c r="P127" i="9"/>
  <c r="Q127" i="9" s="1"/>
  <c r="S127" i="9" s="1"/>
  <c r="T127" i="9" s="1"/>
  <c r="P121" i="9"/>
  <c r="P106" i="9"/>
  <c r="P117" i="9"/>
  <c r="P186" i="9"/>
  <c r="Q186" i="9" s="1"/>
  <c r="S186" i="9" s="1"/>
  <c r="T186" i="9" s="1"/>
  <c r="P193" i="9"/>
  <c r="P190" i="9" s="1"/>
  <c r="Q190" i="9" s="1"/>
  <c r="S190" i="9" s="1"/>
  <c r="P198" i="9"/>
  <c r="Q198" i="9" s="1"/>
  <c r="S198" i="9" s="1"/>
  <c r="P209" i="9"/>
  <c r="P214" i="9"/>
  <c r="P219" i="9"/>
  <c r="P226" i="9"/>
  <c r="P231" i="9"/>
  <c r="O39" i="8"/>
  <c r="P39" i="8" s="1"/>
  <c r="P183" i="11"/>
  <c r="Q183" i="11" s="1"/>
  <c r="S183" i="11" s="1"/>
  <c r="P201" i="5"/>
  <c r="P208" i="5"/>
  <c r="P157" i="5"/>
  <c r="Q157" i="5" s="1"/>
  <c r="S157" i="5" s="1"/>
  <c r="T157" i="5" s="1"/>
  <c r="P164" i="5"/>
  <c r="Q164" i="5" s="1"/>
  <c r="S164" i="5" s="1"/>
  <c r="T164" i="5" s="1"/>
  <c r="P231" i="5"/>
  <c r="Q231" i="5" s="1"/>
  <c r="S231" i="5" s="1"/>
  <c r="T231" i="5" s="1"/>
  <c r="P274" i="5"/>
  <c r="P148" i="5"/>
  <c r="P174" i="5"/>
  <c r="Q174" i="5" s="1"/>
  <c r="S174" i="5" s="1"/>
  <c r="T174" i="5" s="1"/>
  <c r="P71" i="5"/>
  <c r="P135" i="5"/>
  <c r="Q135" i="5" s="1"/>
  <c r="S135" i="5" s="1"/>
  <c r="T135" i="5" s="1"/>
  <c r="P154" i="5"/>
  <c r="Q154" i="5" s="1"/>
  <c r="S154" i="5" s="1"/>
  <c r="T154" i="5" s="1"/>
  <c r="P177" i="5"/>
  <c r="Q177" i="5" s="1"/>
  <c r="S177" i="5" s="1"/>
  <c r="P141" i="5"/>
  <c r="Q141" i="5" s="1"/>
  <c r="S141" i="5" s="1"/>
  <c r="T141" i="5" s="1"/>
  <c r="P161" i="5"/>
  <c r="Q161" i="5" s="1"/>
  <c r="S161" i="5" s="1"/>
  <c r="T161" i="5" s="1"/>
  <c r="P168" i="5"/>
  <c r="Q168" i="5" s="1"/>
  <c r="S168" i="5" s="1"/>
  <c r="T168" i="5" s="1"/>
  <c r="P180" i="5"/>
  <c r="Q180" i="5" s="1"/>
  <c r="S180" i="5" s="1"/>
  <c r="T180" i="5" s="1"/>
  <c r="P279" i="5"/>
  <c r="Q279" i="5" s="1"/>
  <c r="S279" i="5" s="1"/>
  <c r="T279" i="5" s="1"/>
  <c r="P144" i="5"/>
  <c r="Q144" i="5" s="1"/>
  <c r="S144" i="5" s="1"/>
  <c r="T144" i="5" s="1"/>
  <c r="P171" i="5"/>
  <c r="Q171" i="5" s="1"/>
  <c r="S171" i="5" s="1"/>
  <c r="T171" i="5" s="1"/>
  <c r="P183" i="5"/>
  <c r="Q183" i="5" s="1"/>
  <c r="S183" i="5" s="1"/>
  <c r="T183" i="5" s="1"/>
  <c r="O22" i="8"/>
  <c r="P27" i="6"/>
  <c r="R28" i="6"/>
  <c r="S28" i="6" s="1"/>
  <c r="Q143" i="11"/>
  <c r="S143" i="11" s="1"/>
  <c r="T143" i="11" s="1"/>
  <c r="Q142" i="11"/>
  <c r="Q104" i="11"/>
  <c r="Q59" i="7"/>
  <c r="S60" i="7"/>
  <c r="T60" i="7" s="1"/>
  <c r="S78" i="3"/>
  <c r="T78" i="3" s="1"/>
  <c r="P270" i="5"/>
  <c r="Q270" i="5" s="1"/>
  <c r="S270" i="5" s="1"/>
  <c r="T270" i="5" s="1"/>
  <c r="P88" i="3"/>
  <c r="P93" i="9"/>
  <c r="Q92" i="9" s="1"/>
  <c r="S92" i="9" s="1"/>
  <c r="S274" i="9"/>
  <c r="Q275" i="9"/>
  <c r="S275" i="9" s="1"/>
  <c r="B123" i="31"/>
  <c r="Q283" i="9"/>
  <c r="S283" i="9" s="1"/>
  <c r="T283" i="9" s="1"/>
  <c r="Q62" i="9"/>
  <c r="Q63" i="9"/>
  <c r="S63" i="9" s="1"/>
  <c r="T63" i="9" s="1"/>
  <c r="Q270" i="9"/>
  <c r="Q269" i="9" s="1"/>
  <c r="Q271" i="9"/>
  <c r="S271" i="9" s="1"/>
  <c r="S12" i="5"/>
  <c r="Q11" i="5"/>
  <c r="G34" i="5" s="1"/>
  <c r="G37" i="5" s="1"/>
  <c r="P37" i="5" s="1"/>
  <c r="Q249" i="5"/>
  <c r="Q250" i="5"/>
  <c r="S250" i="5" s="1"/>
  <c r="T250" i="5" s="1"/>
  <c r="Q242" i="5"/>
  <c r="Q243" i="5"/>
  <c r="S243" i="5" s="1"/>
  <c r="T243" i="5" s="1"/>
  <c r="P160" i="3"/>
  <c r="Q160" i="3" s="1"/>
  <c r="Q196" i="3"/>
  <c r="S197" i="3"/>
  <c r="T197" i="3" s="1"/>
  <c r="S190" i="3"/>
  <c r="T190" i="3" s="1"/>
  <c r="Q96" i="3"/>
  <c r="S97" i="3"/>
  <c r="T97" i="3" s="1"/>
  <c r="P185" i="3"/>
  <c r="Q185" i="3" s="1"/>
  <c r="Q27" i="13"/>
  <c r="P186" i="11"/>
  <c r="Q186" i="11" s="1"/>
  <c r="S186" i="11" s="1"/>
  <c r="P92" i="11"/>
  <c r="P78" i="9"/>
  <c r="Q78" i="9" s="1"/>
  <c r="S78" i="9" s="1"/>
  <c r="T78" i="9" s="1"/>
  <c r="Q64" i="7"/>
  <c r="P44" i="5"/>
  <c r="Q44" i="5" s="1"/>
  <c r="S44" i="5" s="1"/>
  <c r="T44" i="5" s="1"/>
  <c r="Q201" i="5"/>
  <c r="S201" i="5" s="1"/>
  <c r="T201" i="5" s="1"/>
  <c r="Q208" i="5"/>
  <c r="S208" i="5" s="1"/>
  <c r="T208" i="5" s="1"/>
  <c r="Q274" i="5"/>
  <c r="S274" i="5" s="1"/>
  <c r="T274" i="5" s="1"/>
  <c r="Q148" i="5"/>
  <c r="S148" i="5" s="1"/>
  <c r="T148" i="5" s="1"/>
  <c r="B121" i="31"/>
  <c r="B120" i="31"/>
  <c r="Q313" i="3"/>
  <c r="P48" i="3"/>
  <c r="P172" i="3"/>
  <c r="P19" i="3"/>
  <c r="P54" i="3"/>
  <c r="P152" i="3"/>
  <c r="P308" i="3"/>
  <c r="Q308" i="3" s="1"/>
  <c r="P169" i="3"/>
  <c r="D93" i="31"/>
  <c r="K21" i="32" s="1"/>
  <c r="P36" i="13"/>
  <c r="Q36" i="13" s="1"/>
  <c r="S36" i="13" s="1"/>
  <c r="T36" i="13" s="1"/>
  <c r="P46" i="13"/>
  <c r="Q46" i="13" s="1"/>
  <c r="S46" i="13" s="1"/>
  <c r="T46" i="13" s="1"/>
  <c r="P135" i="11"/>
  <c r="Q135" i="11" s="1"/>
  <c r="S135" i="11" s="1"/>
  <c r="T135" i="11" s="1"/>
  <c r="P45" i="9"/>
  <c r="Q169" i="9"/>
  <c r="S169" i="9" s="1"/>
  <c r="P140" i="3"/>
  <c r="P165" i="3"/>
  <c r="Q165" i="3" s="1"/>
  <c r="P257" i="3"/>
  <c r="P32" i="3"/>
  <c r="P203" i="3"/>
  <c r="P80" i="3"/>
  <c r="P304" i="3"/>
  <c r="P113" i="3"/>
  <c r="P84" i="3"/>
  <c r="P100" i="3"/>
  <c r="Q100" i="3" s="1"/>
  <c r="P245" i="3"/>
  <c r="P246" i="5"/>
  <c r="Q246" i="5" s="1"/>
  <c r="S246" i="5" s="1"/>
  <c r="T246" i="5" s="1"/>
  <c r="P108" i="5"/>
  <c r="Q61" i="13"/>
  <c r="Q203" i="11"/>
  <c r="B124" i="31"/>
  <c r="P126" i="11"/>
  <c r="Q126" i="11" s="1"/>
  <c r="S126" i="11" s="1"/>
  <c r="T126" i="11" s="1"/>
  <c r="P118" i="11"/>
  <c r="Q118" i="11" s="1"/>
  <c r="S118" i="11" s="1"/>
  <c r="T118" i="11" s="1"/>
  <c r="D85" i="31"/>
  <c r="P122" i="11"/>
  <c r="Q122" i="11" s="1"/>
  <c r="S122" i="11" s="1"/>
  <c r="T122" i="11" s="1"/>
  <c r="P75" i="9"/>
  <c r="Q75" i="9" s="1"/>
  <c r="S75" i="9" s="1"/>
  <c r="T75" i="9" s="1"/>
  <c r="P38" i="9"/>
  <c r="P66" i="9"/>
  <c r="Q66" i="9" s="1"/>
  <c r="S66" i="9" s="1"/>
  <c r="T66" i="9" s="1"/>
  <c r="Q70" i="9"/>
  <c r="S70" i="9" s="1"/>
  <c r="T70" i="9" s="1"/>
  <c r="P253" i="5"/>
  <c r="P50" i="5"/>
  <c r="Q50" i="5" s="1"/>
  <c r="S50" i="5" s="1"/>
  <c r="T50" i="5" s="1"/>
  <c r="Q257" i="5"/>
  <c r="Q288" i="5"/>
  <c r="Q191" i="5"/>
  <c r="S191" i="5" s="1"/>
  <c r="T191" i="5" s="1"/>
  <c r="R205" i="5"/>
  <c r="P277" i="3"/>
  <c r="P150" i="3"/>
  <c r="P42" i="3"/>
  <c r="P143" i="3"/>
  <c r="P289" i="3"/>
  <c r="Q289" i="3" s="1"/>
  <c r="P283" i="3"/>
  <c r="P35" i="3"/>
  <c r="P119" i="3"/>
  <c r="P136" i="3"/>
  <c r="P155" i="3"/>
  <c r="Q155" i="3" s="1"/>
  <c r="P26" i="3"/>
  <c r="P251" i="3"/>
  <c r="P326" i="5"/>
  <c r="P17" i="13"/>
  <c r="Q17" i="13" s="1"/>
  <c r="S17" i="13" s="1"/>
  <c r="P193" i="11"/>
  <c r="P67" i="11"/>
  <c r="Q67" i="11" s="1"/>
  <c r="S67" i="11" s="1"/>
  <c r="T67" i="11" s="1"/>
  <c r="Q145" i="11"/>
  <c r="Q150" i="11"/>
  <c r="P156" i="11"/>
  <c r="Q43" i="11"/>
  <c r="P71" i="11"/>
  <c r="Q71" i="11" s="1"/>
  <c r="S71" i="11" s="1"/>
  <c r="P59" i="11"/>
  <c r="Q59" i="11" s="1"/>
  <c r="S59" i="11" s="1"/>
  <c r="T59" i="11" s="1"/>
  <c r="P79" i="11"/>
  <c r="P29" i="9"/>
  <c r="P26" i="9" s="1"/>
  <c r="Q25" i="9" s="1"/>
  <c r="G20" i="7"/>
  <c r="Q94" i="5"/>
  <c r="S94" i="5" s="1"/>
  <c r="T94" i="5" s="1"/>
  <c r="P64" i="5"/>
  <c r="Q64" i="5" s="1"/>
  <c r="S64" i="5" s="1"/>
  <c r="T64" i="5" s="1"/>
  <c r="P55" i="5"/>
  <c r="Q55" i="5" s="1"/>
  <c r="S55" i="5" s="1"/>
  <c r="T55" i="5" s="1"/>
  <c r="Q97" i="5"/>
  <c r="G220" i="5"/>
  <c r="G223" i="5" s="1"/>
  <c r="P223" i="5" s="1"/>
  <c r="P10" i="3"/>
  <c r="Q10" i="3" s="1"/>
  <c r="S10" i="3" s="1"/>
  <c r="T10" i="3" s="1"/>
  <c r="O10" i="10"/>
  <c r="P9" i="10" s="1"/>
  <c r="P9" i="8"/>
  <c r="Q185" i="11" l="1"/>
  <c r="Q14" i="13"/>
  <c r="Q78" i="11"/>
  <c r="Q79" i="11"/>
  <c r="S79" i="11" s="1"/>
  <c r="Q192" i="11"/>
  <c r="S192" i="11" s="1"/>
  <c r="T192" i="11" s="1"/>
  <c r="Q193" i="11"/>
  <c r="S193" i="11" s="1"/>
  <c r="T193" i="11" s="1"/>
  <c r="Q155" i="11"/>
  <c r="Q156" i="11"/>
  <c r="S156" i="11" s="1"/>
  <c r="T156" i="11" s="1"/>
  <c r="Q87" i="11"/>
  <c r="S87" i="11" s="1"/>
  <c r="Q92" i="11"/>
  <c r="S92" i="11" s="1"/>
  <c r="Q283" i="3"/>
  <c r="S283" i="3" s="1"/>
  <c r="T283" i="3" s="1"/>
  <c r="Q140" i="3"/>
  <c r="S140" i="3" s="1"/>
  <c r="T140" i="3" s="1"/>
  <c r="Q176" i="3"/>
  <c r="S176" i="3" s="1"/>
  <c r="T176" i="3" s="1"/>
  <c r="Q136" i="3"/>
  <c r="S136" i="3" s="1"/>
  <c r="T136" i="3" s="1"/>
  <c r="Q277" i="3"/>
  <c r="S277" i="3" s="1"/>
  <c r="Q113" i="3"/>
  <c r="S113" i="3" s="1"/>
  <c r="T113" i="3" s="1"/>
  <c r="Q32" i="3"/>
  <c r="S32" i="3" s="1"/>
  <c r="T32" i="3" s="1"/>
  <c r="Q152" i="3"/>
  <c r="S152" i="3" s="1"/>
  <c r="T152" i="3" s="1"/>
  <c r="Q48" i="3"/>
  <c r="S48" i="3" s="1"/>
  <c r="T48" i="3" s="1"/>
  <c r="Q110" i="3"/>
  <c r="Q84" i="3"/>
  <c r="S84" i="3" s="1"/>
  <c r="T84" i="3" s="1"/>
  <c r="Q203" i="3"/>
  <c r="S203" i="3" s="1"/>
  <c r="T203" i="3" s="1"/>
  <c r="Q172" i="3"/>
  <c r="S172" i="3" s="1"/>
  <c r="T172" i="3" s="1"/>
  <c r="Q251" i="3"/>
  <c r="S251" i="3" s="1"/>
  <c r="S119" i="3"/>
  <c r="T119" i="3" s="1"/>
  <c r="Q119" i="3"/>
  <c r="Q143" i="3"/>
  <c r="S143" i="3" s="1"/>
  <c r="T143" i="3" s="1"/>
  <c r="Q245" i="3"/>
  <c r="S245" i="3" s="1"/>
  <c r="T245" i="3" s="1"/>
  <c r="Q304" i="3"/>
  <c r="S304" i="3" s="1"/>
  <c r="T304" i="3" s="1"/>
  <c r="Q257" i="3"/>
  <c r="S257" i="3" s="1"/>
  <c r="Q54" i="3"/>
  <c r="S54" i="3" s="1"/>
  <c r="T54" i="3" s="1"/>
  <c r="Q88" i="3"/>
  <c r="S88" i="3" s="1"/>
  <c r="T88" i="3" s="1"/>
  <c r="Q150" i="3"/>
  <c r="Q149" i="3"/>
  <c r="Q26" i="3"/>
  <c r="S26" i="3" s="1"/>
  <c r="T26" i="3" s="1"/>
  <c r="Q42" i="3"/>
  <c r="S42" i="3" s="1"/>
  <c r="T42" i="3" s="1"/>
  <c r="S80" i="3"/>
  <c r="T80" i="3" s="1"/>
  <c r="Q80" i="3"/>
  <c r="Q169" i="3"/>
  <c r="S169" i="3" s="1"/>
  <c r="T169" i="3" s="1"/>
  <c r="Q19" i="3"/>
  <c r="S19" i="3" s="1"/>
  <c r="T19" i="3" s="1"/>
  <c r="R9" i="8"/>
  <c r="S9" i="8" s="1"/>
  <c r="P10" i="8"/>
  <c r="R10" i="8" s="1"/>
  <c r="S10" i="8" s="1"/>
  <c r="P8" i="8"/>
  <c r="Q35" i="3"/>
  <c r="S35" i="3" s="1"/>
  <c r="T35" i="3" s="1"/>
  <c r="Q11" i="9"/>
  <c r="Q8" i="9" s="1"/>
  <c r="S270" i="9"/>
  <c r="P105" i="9"/>
  <c r="Q93" i="9"/>
  <c r="S93" i="9" s="1"/>
  <c r="P208" i="9"/>
  <c r="Q208" i="9" s="1"/>
  <c r="S208" i="9" s="1"/>
  <c r="T208" i="9" s="1"/>
  <c r="Q39" i="5"/>
  <c r="S150" i="3"/>
  <c r="T150" i="3" s="1"/>
  <c r="Q87" i="3"/>
  <c r="S87" i="3" s="1"/>
  <c r="T87" i="3" s="1"/>
  <c r="Q243" i="9"/>
  <c r="S243" i="9" s="1"/>
  <c r="T243" i="9" s="1"/>
  <c r="Q242" i="9"/>
  <c r="Q42" i="9"/>
  <c r="Q45" i="9"/>
  <c r="S45" i="9" s="1"/>
  <c r="T45" i="9" s="1"/>
  <c r="Q26" i="9"/>
  <c r="S26" i="9" s="1"/>
  <c r="T26" i="9" s="1"/>
  <c r="Q37" i="9"/>
  <c r="Q38" i="9"/>
  <c r="S38" i="9" s="1"/>
  <c r="T38" i="9" s="1"/>
  <c r="S269" i="9"/>
  <c r="Q107" i="5"/>
  <c r="Q108" i="5"/>
  <c r="S108" i="5" s="1"/>
  <c r="T108" i="5" s="1"/>
  <c r="Q323" i="5"/>
  <c r="Q326" i="5"/>
  <c r="S326" i="5" s="1"/>
  <c r="T326" i="5" s="1"/>
  <c r="Q70" i="5"/>
  <c r="S70" i="5" s="1"/>
  <c r="T70" i="5" s="1"/>
  <c r="Q71" i="5"/>
  <c r="S71" i="5" s="1"/>
  <c r="T71" i="5" s="1"/>
  <c r="Q252" i="5"/>
  <c r="Q253" i="5"/>
  <c r="S253" i="5" s="1"/>
  <c r="T253" i="5" s="1"/>
  <c r="Q197" i="5"/>
  <c r="S197" i="5" s="1"/>
  <c r="X288" i="3"/>
  <c r="S289" i="3"/>
  <c r="T289" i="3" s="1"/>
  <c r="S185" i="3"/>
  <c r="T185" i="3" s="1"/>
  <c r="Q99" i="3"/>
  <c r="S100" i="3"/>
  <c r="T100" i="3" s="1"/>
  <c r="Q307" i="3"/>
  <c r="S308" i="3"/>
  <c r="Q154" i="3"/>
  <c r="S155" i="3"/>
  <c r="T155" i="3" s="1"/>
  <c r="Q164" i="3"/>
  <c r="S165" i="3"/>
  <c r="T165" i="3" s="1"/>
  <c r="Q159" i="3"/>
  <c r="S160" i="3"/>
  <c r="T160" i="3" s="1"/>
  <c r="Q164" i="9"/>
  <c r="Q175" i="3"/>
  <c r="Q190" i="5"/>
  <c r="S190" i="5" s="1"/>
  <c r="T190" i="5" s="1"/>
  <c r="G23" i="7"/>
  <c r="P23" i="7" s="1"/>
  <c r="P20" i="7"/>
  <c r="Q134" i="5"/>
  <c r="Q244" i="3"/>
  <c r="S244" i="3" s="1"/>
  <c r="T244" i="3" s="1"/>
  <c r="Q168" i="3"/>
  <c r="Q18" i="3"/>
  <c r="Q135" i="3"/>
  <c r="Q55" i="11"/>
  <c r="Q54" i="11" s="1"/>
  <c r="P20" i="11"/>
  <c r="Q11" i="11" s="1"/>
  <c r="Q8" i="11" s="1"/>
  <c r="G21" i="7"/>
  <c r="G221" i="5"/>
  <c r="P221" i="5" s="1"/>
  <c r="G222" i="5" s="1"/>
  <c r="P222" i="5" s="1"/>
  <c r="G35" i="5"/>
  <c r="G38" i="5" s="1"/>
  <c r="P38" i="5" s="1"/>
  <c r="P220" i="5"/>
  <c r="G224" i="5"/>
  <c r="P224" i="5" s="1"/>
  <c r="Q269" i="5"/>
  <c r="Q268" i="5" s="1"/>
  <c r="P34" i="5"/>
  <c r="S11" i="5"/>
  <c r="Q241" i="9" l="1"/>
  <c r="Q240" i="9" s="1"/>
  <c r="S11" i="9"/>
  <c r="Q20" i="11"/>
  <c r="S20" i="11" s="1"/>
  <c r="P219" i="5"/>
  <c r="B102" i="31"/>
  <c r="I101" i="38" s="1"/>
  <c r="M101" i="38" s="1"/>
  <c r="Q101" i="9"/>
  <c r="Q105" i="9"/>
  <c r="S105" i="9" s="1"/>
  <c r="T105" i="9" s="1"/>
  <c r="B13" i="31"/>
  <c r="I12" i="38" s="1"/>
  <c r="M12" i="38" s="1"/>
  <c r="N12" i="38" s="1"/>
  <c r="G24" i="7"/>
  <c r="P24" i="7" s="1"/>
  <c r="P21" i="7"/>
  <c r="Q214" i="3"/>
  <c r="B36" i="31" s="1"/>
  <c r="S269" i="5"/>
  <c r="T269" i="5" s="1"/>
  <c r="B101" i="31"/>
  <c r="I100" i="38" s="1"/>
  <c r="G27" i="11"/>
  <c r="G29" i="11"/>
  <c r="P29" i="11" s="1"/>
  <c r="P35" i="5"/>
  <c r="G36" i="5" s="1"/>
  <c r="P36" i="5" s="1"/>
  <c r="M100" i="38" l="1"/>
  <c r="Q218" i="5"/>
  <c r="Q219" i="5"/>
  <c r="S219" i="5" s="1"/>
  <c r="T219" i="5" s="1"/>
  <c r="G22" i="7"/>
  <c r="P22" i="7" s="1"/>
  <c r="P19" i="7" s="1"/>
  <c r="I35" i="38"/>
  <c r="M35" i="38" s="1"/>
  <c r="N35" i="38" s="1"/>
  <c r="W18" i="3"/>
  <c r="W30" i="3" s="1"/>
  <c r="P33" i="5"/>
  <c r="G30" i="11"/>
  <c r="P30" i="11" s="1"/>
  <c r="P27" i="11"/>
  <c r="G28" i="11" s="1"/>
  <c r="P28" i="11" s="1"/>
  <c r="Q18" i="7" l="1"/>
  <c r="Q19" i="7"/>
  <c r="S19" i="7" s="1"/>
  <c r="T19" i="7" s="1"/>
  <c r="Q33" i="5"/>
  <c r="S33" i="5" s="1"/>
  <c r="T33" i="5" s="1"/>
  <c r="N100" i="38"/>
  <c r="P25" i="11"/>
  <c r="Q25" i="11" s="1"/>
  <c r="S25" i="11" s="1"/>
  <c r="T25" i="11" s="1"/>
  <c r="O85" i="14" l="1"/>
  <c r="O51" i="14"/>
  <c r="O50" i="14"/>
  <c r="O49" i="14"/>
  <c r="O48" i="14"/>
  <c r="P47" i="14" s="1"/>
  <c r="O46" i="14"/>
  <c r="O45" i="14"/>
  <c r="O44" i="14"/>
  <c r="O43" i="14"/>
  <c r="O42" i="14"/>
  <c r="O41" i="14"/>
  <c r="O39" i="14" s="1"/>
  <c r="P39" i="14" s="1"/>
  <c r="R39" i="14" s="1"/>
  <c r="S39" i="14" s="1"/>
  <c r="O40" i="14"/>
  <c r="O38" i="14"/>
  <c r="O37" i="14"/>
  <c r="O36" i="14"/>
  <c r="O35" i="14" s="1"/>
  <c r="P35" i="14" s="1"/>
  <c r="R35" i="14" s="1"/>
  <c r="O34" i="14"/>
  <c r="O33" i="14"/>
  <c r="O32" i="14"/>
  <c r="O31" i="14"/>
  <c r="O29" i="14"/>
  <c r="O28" i="14"/>
  <c r="O27" i="14"/>
  <c r="O26" i="14"/>
  <c r="O25" i="14"/>
  <c r="O23" i="14"/>
  <c r="O22" i="14"/>
  <c r="O21" i="14"/>
  <c r="O19" i="14"/>
  <c r="O18" i="14"/>
  <c r="O17" i="14"/>
  <c r="O15" i="14"/>
  <c r="O14" i="14"/>
  <c r="O13" i="14"/>
  <c r="O12" i="14"/>
  <c r="O11" i="14"/>
  <c r="O54" i="4"/>
  <c r="P54" i="4" s="1"/>
  <c r="R54" i="4" s="1"/>
  <c r="S54" i="4" s="1"/>
  <c r="O53" i="4"/>
  <c r="P53" i="4" s="1"/>
  <c r="R53" i="4" s="1"/>
  <c r="S53" i="4" s="1"/>
  <c r="O52" i="4"/>
  <c r="P52" i="4" s="1"/>
  <c r="R52" i="4" s="1"/>
  <c r="S52" i="4" s="1"/>
  <c r="O50" i="4"/>
  <c r="O49" i="4"/>
  <c r="O47" i="4"/>
  <c r="O46" i="4"/>
  <c r="O45" i="4"/>
  <c r="O44" i="4"/>
  <c r="O43" i="4"/>
  <c r="O42" i="4"/>
  <c r="O41" i="4"/>
  <c r="O40" i="4"/>
  <c r="O39" i="4"/>
  <c r="O38" i="4"/>
  <c r="O37" i="4"/>
  <c r="O36" i="4"/>
  <c r="O34" i="4"/>
  <c r="O33" i="4"/>
  <c r="O32" i="4"/>
  <c r="O31" i="4"/>
  <c r="O30" i="4"/>
  <c r="O29" i="4"/>
  <c r="O28" i="4"/>
  <c r="O27" i="4"/>
  <c r="O25" i="4"/>
  <c r="O24" i="4"/>
  <c r="O23" i="4"/>
  <c r="O22" i="4"/>
  <c r="O21" i="4"/>
  <c r="O20" i="4"/>
  <c r="O19" i="4"/>
  <c r="O18" i="4"/>
  <c r="O16" i="4"/>
  <c r="O15" i="4"/>
  <c r="O14" i="4"/>
  <c r="O13" i="4"/>
  <c r="O12" i="4"/>
  <c r="O11" i="4"/>
  <c r="O22" i="2"/>
  <c r="O20" i="14" l="1"/>
  <c r="P20" i="14" s="1"/>
  <c r="R20" i="14" s="1"/>
  <c r="O48" i="4"/>
  <c r="O16" i="14"/>
  <c r="P16" i="14" s="1"/>
  <c r="R16" i="14" s="1"/>
  <c r="S16" i="14" s="1"/>
  <c r="O10" i="14"/>
  <c r="P10" i="14" s="1"/>
  <c r="R10" i="14" s="1"/>
  <c r="S10" i="14" s="1"/>
  <c r="O30" i="14"/>
  <c r="P30" i="14" s="1"/>
  <c r="R30" i="14" s="1"/>
  <c r="S30" i="14" s="1"/>
  <c r="O24" i="14"/>
  <c r="P24" i="14" s="1"/>
  <c r="R24" i="14" s="1"/>
  <c r="S24" i="14" s="1"/>
  <c r="O26" i="4"/>
  <c r="P51" i="4"/>
  <c r="R51" i="4" s="1"/>
  <c r="O35" i="4"/>
  <c r="O17" i="4"/>
  <c r="O84" i="14"/>
  <c r="O10" i="4"/>
  <c r="P10" i="4" s="1"/>
  <c r="P13" i="2"/>
  <c r="P35" i="4" l="1"/>
  <c r="R35" i="4" s="1"/>
  <c r="S35" i="4" s="1"/>
  <c r="P83" i="14"/>
  <c r="P84" i="14"/>
  <c r="R84" i="14" s="1"/>
  <c r="P26" i="4"/>
  <c r="R26" i="4" s="1"/>
  <c r="S26" i="4" s="1"/>
  <c r="R17" i="4"/>
  <c r="S17" i="4" s="1"/>
  <c r="P17" i="4"/>
  <c r="P48" i="4"/>
  <c r="R48" i="4" s="1"/>
  <c r="P9" i="14"/>
  <c r="P8" i="14" s="1"/>
  <c r="B63" i="29" s="1"/>
  <c r="B78" i="38" s="1"/>
  <c r="P9" i="4"/>
  <c r="R10" i="4"/>
  <c r="S10" i="4" s="1"/>
  <c r="M91" i="38"/>
  <c r="N91" i="38" s="1"/>
  <c r="M90" i="38"/>
  <c r="N90" i="38" s="1"/>
  <c r="K80" i="38"/>
  <c r="M89" i="38"/>
  <c r="N89" i="38" s="1"/>
  <c r="M88" i="38"/>
  <c r="M85" i="38"/>
  <c r="N85" i="38" s="1"/>
  <c r="M77" i="38"/>
  <c r="M76" i="38"/>
  <c r="N76" i="38" s="1"/>
  <c r="K73" i="38"/>
  <c r="K72" i="38" s="1"/>
  <c r="P82" i="14" l="1"/>
  <c r="R83" i="14"/>
  <c r="P8" i="4"/>
  <c r="M82" i="38"/>
  <c r="N82" i="38" s="1"/>
  <c r="M78" i="38"/>
  <c r="N78" i="38" s="1"/>
  <c r="R82" i="14" l="1"/>
  <c r="P81" i="14"/>
  <c r="B87" i="29"/>
  <c r="D110" i="31"/>
  <c r="K22" i="32" s="1"/>
  <c r="D59" i="31"/>
  <c r="D57" i="31"/>
  <c r="D55" i="31"/>
  <c r="D54" i="31"/>
  <c r="D53" i="31"/>
  <c r="D52" i="31"/>
  <c r="D51" i="31"/>
  <c r="D50" i="31"/>
  <c r="D49" i="31"/>
  <c r="B102" i="38" l="1"/>
  <c r="F102" i="38" s="1"/>
  <c r="F87" i="29"/>
  <c r="R81" i="14"/>
  <c r="P80" i="14"/>
  <c r="R80" i="14" s="1"/>
  <c r="D56" i="31"/>
  <c r="D48" i="31"/>
  <c r="F59" i="31"/>
  <c r="G59" i="31" s="1"/>
  <c r="D89" i="29" l="1"/>
  <c r="Q79" i="17" l="1"/>
  <c r="B12" i="29" l="1"/>
  <c r="B11" i="38" s="1"/>
  <c r="F11" i="38" l="1"/>
  <c r="G11" i="38" s="1"/>
  <c r="S79" i="17"/>
  <c r="T79" i="17" s="1"/>
  <c r="P56" i="14" l="1"/>
  <c r="Y23" i="19" l="1"/>
  <c r="Y21" i="19"/>
  <c r="Q38" i="10"/>
  <c r="P39" i="10"/>
  <c r="D58" i="31"/>
  <c r="R39" i="10" l="1"/>
  <c r="S39" i="10" s="1"/>
  <c r="B28" i="29"/>
  <c r="B110" i="31" l="1"/>
  <c r="F111" i="31"/>
  <c r="I22" i="32" l="1"/>
  <c r="M22" i="32" s="1"/>
  <c r="N22" i="32" s="1"/>
  <c r="R85" i="19"/>
  <c r="X14" i="19" s="1"/>
  <c r="X23" i="19"/>
  <c r="R393" i="15"/>
  <c r="R392" i="15" s="1"/>
  <c r="Q394" i="15"/>
  <c r="S394" i="15" s="1"/>
  <c r="T394" i="15" s="1"/>
  <c r="R8" i="13"/>
  <c r="Q393" i="15" l="1"/>
  <c r="Q392" i="15" l="1"/>
  <c r="S393" i="15"/>
  <c r="T393" i="15" s="1"/>
  <c r="F116" i="31" l="1"/>
  <c r="G116" i="31" s="1"/>
  <c r="F115" i="31"/>
  <c r="G115" i="31" s="1"/>
  <c r="W23" i="19"/>
  <c r="S392" i="15"/>
  <c r="T392" i="15" s="1"/>
  <c r="AB13" i="19" l="1"/>
  <c r="F114" i="31"/>
  <c r="F113" i="31"/>
  <c r="G113" i="31" s="1"/>
  <c r="R202" i="11" l="1"/>
  <c r="R201" i="11" s="1"/>
  <c r="F112" i="31" l="1"/>
  <c r="Q202" i="11"/>
  <c r="S203" i="11"/>
  <c r="T203" i="11" s="1"/>
  <c r="G112" i="31" l="1"/>
  <c r="F110" i="31"/>
  <c r="G110" i="31" s="1"/>
  <c r="Q201" i="11"/>
  <c r="S202" i="11"/>
  <c r="T202" i="11" s="1"/>
  <c r="S201" i="11" l="1"/>
  <c r="T201" i="11" s="1"/>
  <c r="Q129" i="19" l="1"/>
  <c r="R128" i="19"/>
  <c r="X15" i="19" s="1"/>
  <c r="Q288" i="15"/>
  <c r="P239" i="9"/>
  <c r="P235" i="9" s="1"/>
  <c r="P225" i="9" s="1"/>
  <c r="Q225" i="9" s="1"/>
  <c r="P61" i="9"/>
  <c r="P60" i="9" s="1"/>
  <c r="Q60" i="9" s="1"/>
  <c r="S60" i="9" s="1"/>
  <c r="T60" i="9" s="1"/>
  <c r="P59" i="9"/>
  <c r="P58" i="9"/>
  <c r="P56" i="9"/>
  <c r="P55" i="9" s="1"/>
  <c r="Q55" i="9" s="1"/>
  <c r="S55" i="9" s="1"/>
  <c r="T55" i="9" s="1"/>
  <c r="P53" i="9"/>
  <c r="P52" i="9" s="1"/>
  <c r="Q52" i="9" s="1"/>
  <c r="S52" i="9" s="1"/>
  <c r="T52" i="9" s="1"/>
  <c r="R78" i="7"/>
  <c r="R73" i="7"/>
  <c r="D52" i="29"/>
  <c r="D34" i="29"/>
  <c r="D33" i="29" s="1"/>
  <c r="D32" i="29"/>
  <c r="D31" i="29" s="1"/>
  <c r="Q25" i="18"/>
  <c r="Q24" i="18" s="1"/>
  <c r="Q23" i="18" s="1"/>
  <c r="Q180" i="9" l="1"/>
  <c r="Q100" i="9" s="1"/>
  <c r="S225" i="9"/>
  <c r="T225" i="9" s="1"/>
  <c r="F102" i="31"/>
  <c r="R7" i="7"/>
  <c r="P26" i="18"/>
  <c r="B89" i="29" s="1"/>
  <c r="B104" i="38" s="1"/>
  <c r="F104" i="38" s="1"/>
  <c r="P57" i="9"/>
  <c r="Q123" i="5"/>
  <c r="F78" i="31"/>
  <c r="Q128" i="19"/>
  <c r="S129" i="19"/>
  <c r="T197" i="5"/>
  <c r="B39" i="31" l="1"/>
  <c r="I38" i="38"/>
  <c r="M38" i="38" s="1"/>
  <c r="N38" i="38" s="1"/>
  <c r="Q54" i="9"/>
  <c r="Q57" i="9"/>
  <c r="S57" i="9" s="1"/>
  <c r="T57" i="9" s="1"/>
  <c r="F89" i="29"/>
  <c r="F89" i="31"/>
  <c r="S128" i="19"/>
  <c r="B66" i="31"/>
  <c r="W15" i="19"/>
  <c r="Y15" i="19" s="1"/>
  <c r="R26" i="18"/>
  <c r="P25" i="18"/>
  <c r="R25" i="18" s="1"/>
  <c r="F66" i="31" l="1"/>
  <c r="I65" i="38"/>
  <c r="M65" i="38" s="1"/>
  <c r="P24" i="18"/>
  <c r="P23" i="18" s="1"/>
  <c r="R24" i="18" l="1"/>
  <c r="R23" i="18"/>
  <c r="O79" i="14"/>
  <c r="Q7" i="14"/>
  <c r="P17" i="12"/>
  <c r="Q12" i="6"/>
  <c r="P16" i="12" l="1"/>
  <c r="Q279" i="15" l="1"/>
  <c r="S83" i="15"/>
  <c r="T83" i="15" s="1"/>
  <c r="Q67" i="15"/>
  <c r="O67" i="14"/>
  <c r="O66" i="14" s="1"/>
  <c r="P65" i="14" s="1"/>
  <c r="P64" i="14" s="1"/>
  <c r="O61" i="14" l="1"/>
  <c r="Q291" i="15"/>
  <c r="Q318" i="15"/>
  <c r="S236" i="15"/>
  <c r="T236" i="15" s="1"/>
  <c r="S84" i="15"/>
  <c r="T84" i="15" s="1"/>
  <c r="S85" i="15"/>
  <c r="T85" i="15" s="1"/>
  <c r="S21" i="15"/>
  <c r="T21" i="15" s="1"/>
  <c r="P60" i="14" l="1"/>
  <c r="P59" i="14" s="1"/>
  <c r="P61" i="14"/>
  <c r="R61" i="14" s="1"/>
  <c r="S61" i="14" s="1"/>
  <c r="B104" i="31"/>
  <c r="I103" i="38" s="1"/>
  <c r="M103" i="38" s="1"/>
  <c r="N103" i="38" s="1"/>
  <c r="Q262" i="15"/>
  <c r="B87" i="31" s="1"/>
  <c r="S96" i="15"/>
  <c r="T96" i="15" s="1"/>
  <c r="I86" i="38" l="1"/>
  <c r="M86" i="38" s="1"/>
  <c r="N86" i="38" s="1"/>
  <c r="S262" i="15"/>
  <c r="T262" i="15" s="1"/>
  <c r="S318" i="15"/>
  <c r="T318" i="15" s="1"/>
  <c r="D82" i="38"/>
  <c r="F78" i="38"/>
  <c r="G78" i="38" s="1"/>
  <c r="F77" i="38"/>
  <c r="G77" i="38" s="1"/>
  <c r="D73" i="38"/>
  <c r="H6" i="38"/>
  <c r="K4" i="38"/>
  <c r="I4" i="38"/>
  <c r="H4" i="38"/>
  <c r="H25" i="32"/>
  <c r="H24" i="32"/>
  <c r="H20" i="32"/>
  <c r="H19" i="32"/>
  <c r="H18" i="32"/>
  <c r="H16" i="32"/>
  <c r="H15" i="32"/>
  <c r="H14" i="32"/>
  <c r="H13" i="32"/>
  <c r="H12" i="32"/>
  <c r="H10" i="32"/>
  <c r="H9" i="32"/>
  <c r="H8" i="32"/>
  <c r="H11" i="32"/>
  <c r="A20" i="32"/>
  <c r="A19" i="32"/>
  <c r="A18" i="32"/>
  <c r="A13" i="32"/>
  <c r="A12" i="32"/>
  <c r="A11" i="32"/>
  <c r="A10" i="32"/>
  <c r="A9" i="32"/>
  <c r="A8" i="32"/>
  <c r="D47" i="29"/>
  <c r="K6" i="38" l="1"/>
  <c r="L94" i="38" s="1"/>
  <c r="L134" i="38" l="1"/>
  <c r="L122" i="38"/>
  <c r="L130" i="38"/>
  <c r="L115" i="38"/>
  <c r="L106" i="38"/>
  <c r="L98" i="38"/>
  <c r="L87" i="38"/>
  <c r="L103" i="38"/>
  <c r="L96" i="38"/>
  <c r="L135" i="38"/>
  <c r="L123" i="38"/>
  <c r="L119" i="38"/>
  <c r="L110" i="38"/>
  <c r="L107" i="38"/>
  <c r="L93" i="38"/>
  <c r="L88" i="38"/>
  <c r="L79" i="38"/>
  <c r="L127" i="38"/>
  <c r="L113" i="38"/>
  <c r="L136" i="38"/>
  <c r="L124" i="38"/>
  <c r="L117" i="38"/>
  <c r="L109" i="38"/>
  <c r="L108" i="38"/>
  <c r="L92" i="38"/>
  <c r="L89" i="38"/>
  <c r="L75" i="38"/>
  <c r="L118" i="38"/>
  <c r="L104" i="38"/>
  <c r="L132" i="38"/>
  <c r="L125" i="38"/>
  <c r="L116" i="38"/>
  <c r="L101" i="38"/>
  <c r="L100" i="38"/>
  <c r="L82" i="38"/>
  <c r="L90" i="38"/>
  <c r="L76" i="38"/>
  <c r="L84" i="38"/>
  <c r="L81" i="38"/>
  <c r="L120" i="38"/>
  <c r="L80" i="38"/>
  <c r="L131" i="38"/>
  <c r="L126" i="38"/>
  <c r="L111" i="38"/>
  <c r="L102" i="38"/>
  <c r="L99" i="38"/>
  <c r="L83" i="38"/>
  <c r="L91" i="38"/>
  <c r="L77" i="38"/>
  <c r="L95" i="38"/>
  <c r="L78" i="38"/>
  <c r="L128" i="38"/>
  <c r="L74" i="38"/>
  <c r="L133" i="38"/>
  <c r="L121" i="38"/>
  <c r="L129" i="38"/>
  <c r="L114" i="38"/>
  <c r="L105" i="38"/>
  <c r="L97" i="38"/>
  <c r="L86" i="38"/>
  <c r="L112" i="38"/>
  <c r="L85" i="38"/>
  <c r="L73" i="38"/>
  <c r="L72" i="38"/>
  <c r="L55" i="38"/>
  <c r="L64" i="38"/>
  <c r="L50" i="38"/>
  <c r="L47" i="38"/>
  <c r="L65" i="38"/>
  <c r="L71" i="38"/>
  <c r="L69" i="38"/>
  <c r="L66" i="38"/>
  <c r="L21" i="38"/>
  <c r="L67" i="38"/>
  <c r="L70" i="38"/>
  <c r="L61" i="38"/>
  <c r="L68" i="38"/>
  <c r="L60" i="38"/>
  <c r="L59" i="38"/>
  <c r="L62" i="38"/>
  <c r="L58" i="38"/>
  <c r="L57" i="38"/>
  <c r="L63" i="38"/>
  <c r="L56" i="38"/>
  <c r="L34" i="38"/>
  <c r="L49" i="38"/>
  <c r="L51" i="38"/>
  <c r="L52" i="38"/>
  <c r="L48" i="38"/>
  <c r="L53" i="38"/>
  <c r="L54" i="38"/>
  <c r="L38" i="38"/>
  <c r="L46" i="38"/>
  <c r="L39" i="38"/>
  <c r="L35" i="38"/>
  <c r="L42" i="38"/>
  <c r="L40" i="38"/>
  <c r="L41" i="38"/>
  <c r="L43" i="38"/>
  <c r="L36" i="38"/>
  <c r="L44" i="38"/>
  <c r="L37" i="38"/>
  <c r="L45" i="38"/>
  <c r="L11" i="38"/>
  <c r="L9" i="38"/>
  <c r="L13" i="38"/>
  <c r="L10" i="38"/>
  <c r="L12" i="38"/>
  <c r="L14" i="38"/>
  <c r="L16" i="38"/>
  <c r="L18" i="38"/>
  <c r="L20" i="38"/>
  <c r="L17" i="38"/>
  <c r="L15" i="38"/>
  <c r="L19" i="38"/>
  <c r="L8" i="38"/>
  <c r="L24" i="38"/>
  <c r="L22" i="38"/>
  <c r="L30" i="38"/>
  <c r="L23" i="38"/>
  <c r="L25" i="38"/>
  <c r="L27" i="38"/>
  <c r="L29" i="38"/>
  <c r="L31" i="38"/>
  <c r="L33" i="38"/>
  <c r="L28" i="38"/>
  <c r="L26" i="38"/>
  <c r="L32" i="38"/>
  <c r="L7" i="38"/>
  <c r="L6" i="38" l="1"/>
  <c r="D126" i="31" l="1"/>
  <c r="D131" i="31" l="1"/>
  <c r="D122" i="31"/>
  <c r="D100" i="31"/>
  <c r="K20" i="32" s="1"/>
  <c r="R13" i="32" s="1"/>
  <c r="D72" i="31" l="1"/>
  <c r="D71" i="31" s="1"/>
  <c r="K13" i="32"/>
  <c r="K12" i="32"/>
  <c r="D86" i="29"/>
  <c r="D101" i="38" s="1"/>
  <c r="R14" i="38" s="1"/>
  <c r="D85" i="29"/>
  <c r="D100" i="38" s="1"/>
  <c r="R13" i="38" s="1"/>
  <c r="D84" i="29"/>
  <c r="D99" i="38" s="1"/>
  <c r="D83" i="29"/>
  <c r="D98" i="38" s="1"/>
  <c r="D82" i="29"/>
  <c r="D97" i="38" s="1"/>
  <c r="R10" i="38" s="1"/>
  <c r="D79" i="29"/>
  <c r="D94" i="38" s="1"/>
  <c r="R19" i="38" s="1"/>
  <c r="D54" i="29"/>
  <c r="D53" i="29" s="1"/>
  <c r="D14" i="32" s="1"/>
  <c r="D51" i="29"/>
  <c r="D50" i="29"/>
  <c r="D49" i="29"/>
  <c r="D48" i="29"/>
  <c r="D46" i="29"/>
  <c r="D45" i="29"/>
  <c r="D44" i="29"/>
  <c r="D43" i="29"/>
  <c r="D42" i="29"/>
  <c r="D41" i="29"/>
  <c r="K11" i="29"/>
  <c r="R11" i="38" l="1"/>
  <c r="D96" i="38"/>
  <c r="R12" i="38"/>
  <c r="K16" i="32"/>
  <c r="R14" i="31"/>
  <c r="D81" i="29"/>
  <c r="D40" i="29"/>
  <c r="K13" i="29"/>
  <c r="K11" i="32"/>
  <c r="D22" i="32" l="1"/>
  <c r="B47" i="29"/>
  <c r="F47" i="29" s="1"/>
  <c r="G47" i="29" s="1"/>
  <c r="B15" i="29"/>
  <c r="B14" i="38" s="1"/>
  <c r="D13" i="32"/>
  <c r="D12" i="32"/>
  <c r="F14" i="38" l="1"/>
  <c r="G14" i="38" s="1"/>
  <c r="H6" i="32"/>
  <c r="K4" i="32"/>
  <c r="I4" i="32"/>
  <c r="H4" i="32"/>
  <c r="F120" i="31"/>
  <c r="F104" i="31"/>
  <c r="G104" i="31" s="1"/>
  <c r="D55" i="29"/>
  <c r="D92" i="29" s="1"/>
  <c r="D11" i="32"/>
  <c r="F8" i="28"/>
  <c r="G8" i="28" s="1"/>
  <c r="D15" i="32" l="1"/>
  <c r="S10" i="32" s="1"/>
  <c r="D10" i="28"/>
  <c r="G120" i="31"/>
  <c r="F15" i="29"/>
  <c r="G15" i="29" s="1"/>
  <c r="P107" i="25" l="1"/>
  <c r="P106" i="25" s="1"/>
  <c r="Q106" i="25" s="1"/>
  <c r="S106" i="25" s="1"/>
  <c r="T106" i="25" s="1"/>
  <c r="R104" i="25"/>
  <c r="R103" i="25" s="1"/>
  <c r="X19" i="25" s="1"/>
  <c r="S56" i="25"/>
  <c r="T56" i="25" s="1"/>
  <c r="Q53" i="25"/>
  <c r="S53" i="25" s="1"/>
  <c r="S49" i="25"/>
  <c r="T49" i="25" s="1"/>
  <c r="Q36" i="25"/>
  <c r="S36" i="25" s="1"/>
  <c r="T36" i="25" s="1"/>
  <c r="S33" i="25"/>
  <c r="T33" i="25" s="1"/>
  <c r="Q30" i="25"/>
  <c r="S30" i="25" s="1"/>
  <c r="T30" i="25" s="1"/>
  <c r="O20" i="24"/>
  <c r="O19" i="24" s="1"/>
  <c r="O16" i="24"/>
  <c r="O15" i="24" s="1"/>
  <c r="P14" i="24" s="1"/>
  <c r="B52" i="29" s="1"/>
  <c r="F52" i="29" s="1"/>
  <c r="G52" i="29" s="1"/>
  <c r="Q13" i="24"/>
  <c r="Q12" i="24" s="1"/>
  <c r="Q8" i="24"/>
  <c r="Q7" i="24" l="1"/>
  <c r="D80" i="29"/>
  <c r="P18" i="24"/>
  <c r="P19" i="24"/>
  <c r="R19" i="24" s="1"/>
  <c r="S19" i="24" s="1"/>
  <c r="Q6" i="24"/>
  <c r="Q5" i="24" s="1"/>
  <c r="V6" i="24" s="1"/>
  <c r="X11" i="25"/>
  <c r="X9" i="25" s="1"/>
  <c r="X21" i="25" s="1"/>
  <c r="R7" i="25"/>
  <c r="R6" i="25" s="1"/>
  <c r="R5" i="25" s="1"/>
  <c r="W6" i="25" s="1"/>
  <c r="Q105" i="25"/>
  <c r="B131" i="31"/>
  <c r="B47" i="31"/>
  <c r="I46" i="38" s="1"/>
  <c r="D47" i="31"/>
  <c r="L21" i="31" s="1"/>
  <c r="N21" i="31" s="1"/>
  <c r="F92" i="31"/>
  <c r="G92" i="31" s="1"/>
  <c r="Q23" i="25"/>
  <c r="Q39" i="25"/>
  <c r="S39" i="25" s="1"/>
  <c r="T39" i="25" s="1"/>
  <c r="S45" i="25"/>
  <c r="T45" i="25" s="1"/>
  <c r="B21" i="31"/>
  <c r="I20" i="38" s="1"/>
  <c r="M20" i="38" s="1"/>
  <c r="N20" i="38" s="1"/>
  <c r="S9" i="25"/>
  <c r="T9" i="25" s="1"/>
  <c r="S94" i="25"/>
  <c r="T94" i="25" s="1"/>
  <c r="S23" i="25"/>
  <c r="T23" i="25" s="1"/>
  <c r="R18" i="24"/>
  <c r="S18" i="24" s="1"/>
  <c r="R9" i="24"/>
  <c r="S9" i="24" s="1"/>
  <c r="P8" i="24"/>
  <c r="P13" i="24"/>
  <c r="R14" i="24"/>
  <c r="S14" i="24" s="1"/>
  <c r="B22" i="29" l="1"/>
  <c r="P17" i="24"/>
  <c r="R17" i="24" s="1"/>
  <c r="S17" i="24" s="1"/>
  <c r="D95" i="38"/>
  <c r="K22" i="29"/>
  <c r="Q22" i="25"/>
  <c r="W11" i="25" s="1"/>
  <c r="M46" i="38"/>
  <c r="N46" i="38" s="1"/>
  <c r="F131" i="31"/>
  <c r="G131" i="31" s="1"/>
  <c r="S105" i="25"/>
  <c r="T105" i="25" s="1"/>
  <c r="Q104" i="25"/>
  <c r="Q103" i="25" s="1"/>
  <c r="S69" i="25"/>
  <c r="T69" i="25" s="1"/>
  <c r="F47" i="31"/>
  <c r="G47" i="31" s="1"/>
  <c r="F21" i="31"/>
  <c r="G21" i="31" s="1"/>
  <c r="F80" i="29"/>
  <c r="G80" i="29" s="1"/>
  <c r="S92" i="25"/>
  <c r="T92" i="25" s="1"/>
  <c r="S93" i="25"/>
  <c r="T93" i="25" s="1"/>
  <c r="S68" i="25"/>
  <c r="T68" i="25" s="1"/>
  <c r="Q67" i="25"/>
  <c r="S8" i="25"/>
  <c r="T8" i="25" s="1"/>
  <c r="P12" i="24"/>
  <c r="R12" i="24" s="1"/>
  <c r="S12" i="24" s="1"/>
  <c r="R13" i="24"/>
  <c r="S13" i="24" s="1"/>
  <c r="P7" i="24"/>
  <c r="R8" i="24"/>
  <c r="S8" i="24" s="1"/>
  <c r="R20" i="38" l="1"/>
  <c r="R21" i="38" s="1"/>
  <c r="F95" i="38"/>
  <c r="G95" i="38" s="1"/>
  <c r="D89" i="38"/>
  <c r="B21" i="38"/>
  <c r="F22" i="29"/>
  <c r="G22" i="29" s="1"/>
  <c r="J22" i="29"/>
  <c r="L22" i="29" s="1"/>
  <c r="S104" i="25"/>
  <c r="T104" i="25" s="1"/>
  <c r="S67" i="25"/>
  <c r="T67" i="25" s="1"/>
  <c r="W13" i="25"/>
  <c r="W9" i="25" s="1"/>
  <c r="S103" i="25"/>
  <c r="T103" i="25" s="1"/>
  <c r="W19" i="25"/>
  <c r="S22" i="25"/>
  <c r="T22" i="25" s="1"/>
  <c r="Q7" i="25"/>
  <c r="Q6" i="25" s="1"/>
  <c r="B34" i="31"/>
  <c r="I33" i="38" s="1"/>
  <c r="K21" i="31"/>
  <c r="R7" i="24"/>
  <c r="S7" i="24" s="1"/>
  <c r="P6" i="24"/>
  <c r="D72" i="38" l="1"/>
  <c r="Q20" i="38"/>
  <c r="S20" i="38" s="1"/>
  <c r="F21" i="38"/>
  <c r="G21" i="38" s="1"/>
  <c r="V20" i="38"/>
  <c r="M33" i="38"/>
  <c r="N33" i="38" s="1"/>
  <c r="W21" i="25"/>
  <c r="F34" i="31"/>
  <c r="G34" i="31" s="1"/>
  <c r="S7" i="25"/>
  <c r="T7" i="25" s="1"/>
  <c r="Q5" i="25"/>
  <c r="S6" i="25"/>
  <c r="T6" i="25" s="1"/>
  <c r="P5" i="24"/>
  <c r="R6" i="24"/>
  <c r="S6" i="24" s="1"/>
  <c r="D6" i="38" l="1"/>
  <c r="E72" i="38"/>
  <c r="S5" i="25"/>
  <c r="T5" i="25" s="1"/>
  <c r="V6" i="25"/>
  <c r="R5" i="24"/>
  <c r="S5" i="24" s="1"/>
  <c r="U6" i="24"/>
  <c r="R115" i="23"/>
  <c r="R114" i="23" s="1"/>
  <c r="P113" i="23"/>
  <c r="P112" i="23" s="1"/>
  <c r="Q107" i="23"/>
  <c r="Q106" i="23" s="1"/>
  <c r="S75" i="23"/>
  <c r="T75" i="23" s="1"/>
  <c r="S72" i="23"/>
  <c r="T72" i="23" s="1"/>
  <c r="S68" i="23"/>
  <c r="T68" i="23" s="1"/>
  <c r="Q54" i="23"/>
  <c r="S49" i="23"/>
  <c r="T49" i="23" s="1"/>
  <c r="Q39" i="23"/>
  <c r="S39" i="23" s="1"/>
  <c r="T39" i="23" s="1"/>
  <c r="Q36" i="23"/>
  <c r="S36" i="23" s="1"/>
  <c r="T36" i="23" s="1"/>
  <c r="Q33" i="23"/>
  <c r="S33" i="23" s="1"/>
  <c r="T33" i="23" s="1"/>
  <c r="S22" i="23"/>
  <c r="T22" i="23" s="1"/>
  <c r="O20" i="22"/>
  <c r="O19" i="22" s="1"/>
  <c r="P19" i="22" s="1"/>
  <c r="R19" i="22" s="1"/>
  <c r="S19" i="22" s="1"/>
  <c r="Q17" i="22"/>
  <c r="O16" i="22"/>
  <c r="O15" i="22"/>
  <c r="P14" i="22" s="1"/>
  <c r="P13" i="22" s="1"/>
  <c r="O10" i="22"/>
  <c r="P9" i="22" s="1"/>
  <c r="P8" i="22" s="1"/>
  <c r="Q7" i="22"/>
  <c r="E97" i="38" l="1"/>
  <c r="E102" i="38"/>
  <c r="E51" i="38"/>
  <c r="E35" i="38"/>
  <c r="E20" i="38"/>
  <c r="E84" i="38"/>
  <c r="E19" i="38"/>
  <c r="E82" i="38"/>
  <c r="E85" i="38"/>
  <c r="E49" i="38"/>
  <c r="E30" i="38"/>
  <c r="E14" i="38"/>
  <c r="E83" i="38"/>
  <c r="E79" i="38"/>
  <c r="E29" i="38"/>
  <c r="E52" i="38"/>
  <c r="E36" i="38"/>
  <c r="E21" i="38"/>
  <c r="E17" i="38"/>
  <c r="E99" i="38"/>
  <c r="E104" i="38"/>
  <c r="E103" i="38"/>
  <c r="E100" i="38"/>
  <c r="E41" i="38"/>
  <c r="E31" i="38"/>
  <c r="E15" i="38"/>
  <c r="E77" i="38"/>
  <c r="E9" i="38"/>
  <c r="E45" i="38"/>
  <c r="E81" i="38"/>
  <c r="E48" i="38"/>
  <c r="E28" i="38"/>
  <c r="E13" i="38"/>
  <c r="E76" i="38"/>
  <c r="E73" i="38"/>
  <c r="E16" i="38"/>
  <c r="E43" i="38"/>
  <c r="E33" i="38"/>
  <c r="E92" i="38"/>
  <c r="E12" i="38"/>
  <c r="E96" i="38"/>
  <c r="E105" i="38"/>
  <c r="E101" i="38"/>
  <c r="E42" i="38"/>
  <c r="E27" i="38"/>
  <c r="E10" i="38"/>
  <c r="E90" i="38"/>
  <c r="E86" i="38"/>
  <c r="E37" i="38"/>
  <c r="E53" i="38"/>
  <c r="E38" i="38"/>
  <c r="E22" i="38"/>
  <c r="E93" i="38"/>
  <c r="E7" i="38"/>
  <c r="E6" i="38" s="1"/>
  <c r="E54" i="38"/>
  <c r="E8" i="38"/>
  <c r="E50" i="38"/>
  <c r="E24" i="38"/>
  <c r="E46" i="38"/>
  <c r="E91" i="38"/>
  <c r="E98" i="38"/>
  <c r="E94" i="38"/>
  <c r="E55" i="38"/>
  <c r="E44" i="38"/>
  <c r="E26" i="38"/>
  <c r="E88" i="38"/>
  <c r="E80" i="38"/>
  <c r="E75" i="38"/>
  <c r="E23" i="38"/>
  <c r="E47" i="38"/>
  <c r="E34" i="38"/>
  <c r="E18" i="38"/>
  <c r="E87" i="38"/>
  <c r="E11" i="38"/>
  <c r="E39" i="38"/>
  <c r="E78" i="38"/>
  <c r="E40" i="38"/>
  <c r="E25" i="38"/>
  <c r="E32" i="38"/>
  <c r="E74" i="38"/>
  <c r="E95" i="38"/>
  <c r="E89" i="38"/>
  <c r="B80" i="31"/>
  <c r="I79" i="38" s="1"/>
  <c r="M79" i="38" s="1"/>
  <c r="N79" i="38" s="1"/>
  <c r="W16" i="23"/>
  <c r="X20" i="23"/>
  <c r="X22" i="23" s="1"/>
  <c r="R6" i="23"/>
  <c r="R5" i="23" s="1"/>
  <c r="W6" i="23" s="1"/>
  <c r="Q111" i="23"/>
  <c r="Q110" i="23" s="1"/>
  <c r="Q112" i="23"/>
  <c r="S112" i="23" s="1"/>
  <c r="T112" i="23" s="1"/>
  <c r="S54" i="23"/>
  <c r="T54" i="23" s="1"/>
  <c r="Q12" i="22"/>
  <c r="Q6" i="22" s="1"/>
  <c r="Q5" i="22" s="1"/>
  <c r="V6" i="22" s="1"/>
  <c r="F91" i="31"/>
  <c r="G91" i="31" s="1"/>
  <c r="F80" i="31"/>
  <c r="G80" i="31" s="1"/>
  <c r="S78" i="23"/>
  <c r="P18" i="22"/>
  <c r="R18" i="22" s="1"/>
  <c r="S18" i="22" s="1"/>
  <c r="K21" i="29"/>
  <c r="B21" i="29"/>
  <c r="R13" i="22"/>
  <c r="S13" i="22" s="1"/>
  <c r="B51" i="29"/>
  <c r="F51" i="29" s="1"/>
  <c r="G51" i="29" s="1"/>
  <c r="G28" i="23"/>
  <c r="S14" i="23"/>
  <c r="T14" i="23" s="1"/>
  <c r="Q116" i="23"/>
  <c r="Q115" i="23" s="1"/>
  <c r="D130" i="31"/>
  <c r="L20" i="31" s="1"/>
  <c r="N20" i="31" s="1"/>
  <c r="S107" i="23"/>
  <c r="T107" i="23" s="1"/>
  <c r="R9" i="22"/>
  <c r="S9" i="22" s="1"/>
  <c r="B79" i="29"/>
  <c r="B94" i="38" s="1"/>
  <c r="F94" i="38" s="1"/>
  <c r="G94" i="38" s="1"/>
  <c r="R14" i="22"/>
  <c r="S14" i="22" s="1"/>
  <c r="F21" i="29" l="1"/>
  <c r="G21" i="29" s="1"/>
  <c r="B20" i="38"/>
  <c r="B108" i="31"/>
  <c r="W18" i="23"/>
  <c r="W15" i="23" s="1"/>
  <c r="Q105" i="23"/>
  <c r="P17" i="22"/>
  <c r="R17" i="22" s="1"/>
  <c r="S17" i="22" s="1"/>
  <c r="S111" i="23"/>
  <c r="T111" i="23" s="1"/>
  <c r="S110" i="23"/>
  <c r="T110" i="23" s="1"/>
  <c r="S76" i="23"/>
  <c r="S77" i="23"/>
  <c r="S9" i="23"/>
  <c r="T9" i="23" s="1"/>
  <c r="S116" i="23"/>
  <c r="T116" i="23" s="1"/>
  <c r="Q46" i="23"/>
  <c r="S46" i="23" s="1"/>
  <c r="T46" i="23" s="1"/>
  <c r="P28" i="23"/>
  <c r="G29" i="23"/>
  <c r="J21" i="29"/>
  <c r="L21" i="29" s="1"/>
  <c r="F79" i="29"/>
  <c r="G79" i="29" s="1"/>
  <c r="B20" i="31"/>
  <c r="F130" i="31"/>
  <c r="G130" i="31" s="1"/>
  <c r="Q114" i="23"/>
  <c r="S115" i="23"/>
  <c r="T115" i="23" s="1"/>
  <c r="S106" i="23"/>
  <c r="T106" i="23" s="1"/>
  <c r="S105" i="23"/>
  <c r="T105" i="23" s="1"/>
  <c r="P12" i="22"/>
  <c r="R12" i="22" s="1"/>
  <c r="S12" i="22" s="1"/>
  <c r="R8" i="22"/>
  <c r="S8" i="22" s="1"/>
  <c r="P7" i="22"/>
  <c r="Q19" i="38" l="1"/>
  <c r="S19" i="38" s="1"/>
  <c r="F20" i="38"/>
  <c r="G20" i="38" s="1"/>
  <c r="S114" i="23"/>
  <c r="T114" i="23" s="1"/>
  <c r="W20" i="23"/>
  <c r="I107" i="38"/>
  <c r="M107" i="38" s="1"/>
  <c r="F108" i="31"/>
  <c r="F20" i="31"/>
  <c r="G20" i="31" s="1"/>
  <c r="I19" i="38"/>
  <c r="M19" i="38" s="1"/>
  <c r="N19" i="38" s="1"/>
  <c r="P6" i="22"/>
  <c r="P5" i="22" s="1"/>
  <c r="U6" i="22" s="1"/>
  <c r="Q43" i="23"/>
  <c r="G32" i="23"/>
  <c r="P32" i="23" s="1"/>
  <c r="P29" i="23"/>
  <c r="G30" i="23" s="1"/>
  <c r="P30" i="23" s="1"/>
  <c r="G31" i="23"/>
  <c r="P31" i="23" s="1"/>
  <c r="S8" i="23"/>
  <c r="T8" i="23" s="1"/>
  <c r="R7" i="22"/>
  <c r="S7" i="22" s="1"/>
  <c r="P27" i="23" l="1"/>
  <c r="S43" i="23"/>
  <c r="T43" i="23" s="1"/>
  <c r="R6" i="22"/>
  <c r="S6" i="22" s="1"/>
  <c r="R5" i="22"/>
  <c r="S5" i="22" s="1"/>
  <c r="Q26" i="23" l="1"/>
  <c r="Q25" i="23" s="1"/>
  <c r="Q7" i="23" s="1"/>
  <c r="Q6" i="23" s="1"/>
  <c r="Q27" i="23"/>
  <c r="S27" i="23" s="1"/>
  <c r="T27" i="23" s="1"/>
  <c r="O31" i="20"/>
  <c r="O30" i="20" s="1"/>
  <c r="O27" i="20"/>
  <c r="O26" i="20" s="1"/>
  <c r="P25" i="20" s="1"/>
  <c r="O21" i="20"/>
  <c r="P20" i="20" s="1"/>
  <c r="P19" i="20" s="1"/>
  <c r="D78" i="29"/>
  <c r="O17" i="20"/>
  <c r="P16" i="20" s="1"/>
  <c r="D73" i="29"/>
  <c r="O13" i="20"/>
  <c r="P12" i="20" s="1"/>
  <c r="R12" i="20" s="1"/>
  <c r="S12" i="20" s="1"/>
  <c r="P9" i="20"/>
  <c r="Q8" i="20"/>
  <c r="D66" i="29" s="1"/>
  <c r="P29" i="20" l="1"/>
  <c r="P28" i="20" s="1"/>
  <c r="P30" i="20"/>
  <c r="R30" i="20" s="1"/>
  <c r="S30" i="20" s="1"/>
  <c r="W12" i="23"/>
  <c r="W10" i="23" s="1"/>
  <c r="W22" i="23" s="1"/>
  <c r="L66" i="29"/>
  <c r="B50" i="29"/>
  <c r="F50" i="29" s="1"/>
  <c r="G50" i="29" s="1"/>
  <c r="P24" i="20"/>
  <c r="P23" i="20" s="1"/>
  <c r="R16" i="20"/>
  <c r="S16" i="20" s="1"/>
  <c r="P15" i="20"/>
  <c r="L19" i="31"/>
  <c r="N19" i="31" s="1"/>
  <c r="F90" i="31"/>
  <c r="G90" i="31" s="1"/>
  <c r="Q7" i="20"/>
  <c r="Q6" i="20" s="1"/>
  <c r="Q5" i="20" s="1"/>
  <c r="K20" i="29"/>
  <c r="R29" i="20"/>
  <c r="S29" i="20" s="1"/>
  <c r="B20" i="29"/>
  <c r="F67" i="31"/>
  <c r="G67" i="31" s="1"/>
  <c r="R25" i="20"/>
  <c r="S25" i="20" s="1"/>
  <c r="R9" i="20"/>
  <c r="S9" i="20" s="1"/>
  <c r="P8" i="20"/>
  <c r="B66" i="29" s="1"/>
  <c r="B81" i="38" s="1"/>
  <c r="F81" i="38" s="1"/>
  <c r="G81" i="38" s="1"/>
  <c r="R20" i="20"/>
  <c r="S20" i="20" s="1"/>
  <c r="F20" i="29" l="1"/>
  <c r="G20" i="29" s="1"/>
  <c r="B19" i="38"/>
  <c r="R28" i="20"/>
  <c r="S28" i="20" s="1"/>
  <c r="R23" i="20"/>
  <c r="S23" i="20" s="1"/>
  <c r="F79" i="31"/>
  <c r="G79" i="31" s="1"/>
  <c r="F129" i="31"/>
  <c r="G129" i="31" s="1"/>
  <c r="R15" i="20"/>
  <c r="S15" i="20" s="1"/>
  <c r="B73" i="29"/>
  <c r="R19" i="20"/>
  <c r="S19" i="20" s="1"/>
  <c r="B78" i="29"/>
  <c r="B93" i="38" s="1"/>
  <c r="F93" i="38" s="1"/>
  <c r="G93" i="38" s="1"/>
  <c r="F66" i="29"/>
  <c r="G66" i="29" s="1"/>
  <c r="R24" i="20"/>
  <c r="S24" i="20" s="1"/>
  <c r="R8" i="20"/>
  <c r="S8" i="20" s="1"/>
  <c r="P7" i="20"/>
  <c r="F73" i="29" l="1"/>
  <c r="G73" i="29" s="1"/>
  <c r="B88" i="38"/>
  <c r="F88" i="38" s="1"/>
  <c r="G88" i="38" s="1"/>
  <c r="Q18" i="38"/>
  <c r="S18" i="38" s="1"/>
  <c r="F19" i="38"/>
  <c r="G19" i="38" s="1"/>
  <c r="F78" i="29"/>
  <c r="G78" i="29" s="1"/>
  <c r="J66" i="29"/>
  <c r="J20" i="29"/>
  <c r="L20" i="29" s="1"/>
  <c r="F19" i="31"/>
  <c r="G19" i="31" s="1"/>
  <c r="F45" i="31"/>
  <c r="G45" i="31" s="1"/>
  <c r="F32" i="31"/>
  <c r="G32" i="31" s="1"/>
  <c r="K19" i="31"/>
  <c r="P6" i="20"/>
  <c r="R7" i="20"/>
  <c r="S7" i="20" s="1"/>
  <c r="R6" i="20" l="1"/>
  <c r="S6" i="20" s="1"/>
  <c r="P5" i="20"/>
  <c r="R5" i="20" l="1"/>
  <c r="S5" i="20" s="1"/>
  <c r="X21" i="19"/>
  <c r="R133" i="19"/>
  <c r="X19" i="19" s="1"/>
  <c r="S127" i="19"/>
  <c r="T127" i="19" s="1"/>
  <c r="S106" i="19"/>
  <c r="T106" i="19" s="1"/>
  <c r="S105" i="19"/>
  <c r="T105" i="19" s="1"/>
  <c r="Q93" i="19"/>
  <c r="S93" i="19" s="1"/>
  <c r="T93" i="19" s="1"/>
  <c r="S82" i="19"/>
  <c r="T82" i="19" s="1"/>
  <c r="XEV48" i="19"/>
  <c r="O22" i="18"/>
  <c r="Q19" i="18"/>
  <c r="P16" i="18"/>
  <c r="Q15" i="18"/>
  <c r="D65" i="29"/>
  <c r="L65" i="29" s="1"/>
  <c r="Q7" i="18" l="1"/>
  <c r="D44" i="31"/>
  <c r="X16" i="19"/>
  <c r="X13" i="19"/>
  <c r="R7" i="19"/>
  <c r="Q14" i="18"/>
  <c r="B19" i="29"/>
  <c r="B18" i="38" s="1"/>
  <c r="R16" i="18"/>
  <c r="S16" i="18" s="1"/>
  <c r="B49" i="29"/>
  <c r="F49" i="29" s="1"/>
  <c r="G49" i="29" s="1"/>
  <c r="S120" i="19"/>
  <c r="T120" i="19" s="1"/>
  <c r="S165" i="19"/>
  <c r="Q86" i="19"/>
  <c r="S86" i="19" s="1"/>
  <c r="T86" i="19" s="1"/>
  <c r="Q124" i="19"/>
  <c r="S124" i="19" s="1"/>
  <c r="T124" i="19" s="1"/>
  <c r="Q114" i="19"/>
  <c r="S114" i="19" s="1"/>
  <c r="T114" i="19" s="1"/>
  <c r="S101" i="19"/>
  <c r="T101" i="19" s="1"/>
  <c r="S117" i="19"/>
  <c r="T117" i="19" s="1"/>
  <c r="R132" i="19"/>
  <c r="S109" i="19"/>
  <c r="T109" i="19" s="1"/>
  <c r="Q9" i="19"/>
  <c r="Q8" i="19" s="1"/>
  <c r="P9" i="18"/>
  <c r="P8" i="18" s="1"/>
  <c r="O21" i="18"/>
  <c r="P21" i="18" s="1"/>
  <c r="R21" i="18" s="1"/>
  <c r="S21" i="18" s="1"/>
  <c r="P15" i="18"/>
  <c r="Q6" i="18" l="1"/>
  <c r="Q5" i="18" s="1"/>
  <c r="R6" i="19"/>
  <c r="R5" i="19" s="1"/>
  <c r="W6" i="19" s="1"/>
  <c r="L18" i="31"/>
  <c r="N18" i="31" s="1"/>
  <c r="X18" i="19"/>
  <c r="X26" i="19" s="1"/>
  <c r="P20" i="18"/>
  <c r="P19" i="18" s="1"/>
  <c r="K19" i="29"/>
  <c r="D23" i="29"/>
  <c r="F30" i="29"/>
  <c r="G30" i="29" s="1"/>
  <c r="R9" i="18"/>
  <c r="S9" i="18" s="1"/>
  <c r="F19" i="29"/>
  <c r="G19" i="29" s="1"/>
  <c r="S96" i="19"/>
  <c r="T96" i="19" s="1"/>
  <c r="D128" i="31"/>
  <c r="F128" i="31" s="1"/>
  <c r="G128" i="31" s="1"/>
  <c r="S136" i="19"/>
  <c r="T136" i="19" s="1"/>
  <c r="S21" i="19"/>
  <c r="T21" i="19" s="1"/>
  <c r="Q85" i="19"/>
  <c r="W14" i="19" s="1"/>
  <c r="Y14" i="19" s="1"/>
  <c r="B65" i="29"/>
  <c r="S9" i="19"/>
  <c r="T9" i="19" s="1"/>
  <c r="S134" i="19"/>
  <c r="T134" i="19" s="1"/>
  <c r="Q133" i="19"/>
  <c r="R15" i="18"/>
  <c r="S15" i="18" s="1"/>
  <c r="J65" i="29" l="1"/>
  <c r="B80" i="38"/>
  <c r="I27" i="29"/>
  <c r="K24" i="29"/>
  <c r="Q7" i="19"/>
  <c r="F80" i="38"/>
  <c r="G80" i="38" s="1"/>
  <c r="Q17" i="38"/>
  <c r="S17" i="38" s="1"/>
  <c r="B16" i="38"/>
  <c r="F18" i="38"/>
  <c r="R20" i="18"/>
  <c r="S20" i="18" s="1"/>
  <c r="D10" i="32"/>
  <c r="B55" i="31"/>
  <c r="F55" i="31" s="1"/>
  <c r="G55" i="31" s="1"/>
  <c r="W19" i="19"/>
  <c r="R19" i="18"/>
  <c r="S19" i="18" s="1"/>
  <c r="P14" i="18"/>
  <c r="S163" i="19"/>
  <c r="T163" i="19" s="1"/>
  <c r="W21" i="19"/>
  <c r="R8" i="18"/>
  <c r="S8" i="18" s="1"/>
  <c r="P7" i="18"/>
  <c r="R7" i="18" s="1"/>
  <c r="S7" i="18" s="1"/>
  <c r="S85" i="19"/>
  <c r="T85" i="19" s="1"/>
  <c r="S164" i="19"/>
  <c r="B31" i="31"/>
  <c r="J19" i="29"/>
  <c r="L19" i="29" s="1"/>
  <c r="F65" i="29"/>
  <c r="G65" i="29" s="1"/>
  <c r="S133" i="19"/>
  <c r="T133" i="19" s="1"/>
  <c r="I30" i="38" l="1"/>
  <c r="M30" i="38"/>
  <c r="N30" i="38" s="1"/>
  <c r="Q132" i="19"/>
  <c r="W31" i="19"/>
  <c r="R14" i="18"/>
  <c r="S14" i="18" s="1"/>
  <c r="P6" i="18"/>
  <c r="P5" i="18" s="1"/>
  <c r="Q6" i="19"/>
  <c r="G18" i="38"/>
  <c r="F16" i="38"/>
  <c r="G16" i="38" s="1"/>
  <c r="F31" i="31"/>
  <c r="G31" i="31" s="1"/>
  <c r="S132" i="19"/>
  <c r="T132" i="19" s="1"/>
  <c r="W16" i="19"/>
  <c r="Y16" i="19" s="1"/>
  <c r="AB21" i="19"/>
  <c r="AB26" i="19" s="1"/>
  <c r="Y19" i="19"/>
  <c r="B18" i="31"/>
  <c r="I17" i="38" s="1"/>
  <c r="W13" i="19"/>
  <c r="S135" i="19"/>
  <c r="T135" i="19" s="1"/>
  <c r="B44" i="31"/>
  <c r="I43" i="38" s="1"/>
  <c r="S8" i="19"/>
  <c r="T8" i="19" s="1"/>
  <c r="F44" i="31" l="1"/>
  <c r="G44" i="31" s="1"/>
  <c r="F18" i="31"/>
  <c r="G18" i="31" s="1"/>
  <c r="R5" i="18"/>
  <c r="S5" i="18" s="1"/>
  <c r="Q5" i="19"/>
  <c r="K18" i="31"/>
  <c r="W18" i="19"/>
  <c r="W26" i="19" s="1"/>
  <c r="Y13" i="19"/>
  <c r="Y18" i="19" s="1"/>
  <c r="Y26" i="19" s="1"/>
  <c r="S7" i="19"/>
  <c r="T7" i="19" s="1"/>
  <c r="R6" i="18"/>
  <c r="S6" i="18" s="1"/>
  <c r="R383" i="17"/>
  <c r="R382" i="17" s="1"/>
  <c r="Q151" i="17"/>
  <c r="S151" i="17" s="1"/>
  <c r="T151" i="17" s="1"/>
  <c r="S150" i="17"/>
  <c r="T150" i="17" s="1"/>
  <c r="S115" i="17"/>
  <c r="T115" i="17" s="1"/>
  <c r="S88" i="17"/>
  <c r="R86" i="17"/>
  <c r="Q82" i="17"/>
  <c r="S82" i="17" s="1"/>
  <c r="T82" i="17" s="1"/>
  <c r="O89" i="16"/>
  <c r="O88" i="16" s="1"/>
  <c r="D17" i="29"/>
  <c r="D9" i="32" s="1"/>
  <c r="P78" i="16"/>
  <c r="D77" i="29"/>
  <c r="R67" i="16"/>
  <c r="S67" i="16" s="1"/>
  <c r="P64" i="16"/>
  <c r="R65" i="16" s="1"/>
  <c r="S65" i="16" s="1"/>
  <c r="Q63" i="16"/>
  <c r="D72" i="29" s="1"/>
  <c r="Q8" i="16"/>
  <c r="D64" i="29" s="1"/>
  <c r="P87" i="16" l="1"/>
  <c r="P88" i="16"/>
  <c r="R88" i="16" s="1"/>
  <c r="S88" i="16" s="1"/>
  <c r="B48" i="29"/>
  <c r="F48" i="29" s="1"/>
  <c r="G48" i="29" s="1"/>
  <c r="P77" i="16"/>
  <c r="S5" i="19"/>
  <c r="T5" i="19" s="1"/>
  <c r="V6" i="19"/>
  <c r="L64" i="29"/>
  <c r="L68" i="29" s="1"/>
  <c r="M43" i="38"/>
  <c r="N43" i="38" s="1"/>
  <c r="V17" i="38"/>
  <c r="M17" i="38"/>
  <c r="N17" i="38" s="1"/>
  <c r="D77" i="31"/>
  <c r="D74" i="31" s="1"/>
  <c r="K18" i="32" s="1"/>
  <c r="R105" i="17"/>
  <c r="Q76" i="16"/>
  <c r="S6" i="19"/>
  <c r="T6" i="19" s="1"/>
  <c r="F29" i="29"/>
  <c r="G29" i="29" s="1"/>
  <c r="R45" i="16"/>
  <c r="S45" i="16" s="1"/>
  <c r="D43" i="31"/>
  <c r="R85" i="17"/>
  <c r="B54" i="31"/>
  <c r="F54" i="31" s="1"/>
  <c r="G54" i="31" s="1"/>
  <c r="Q135" i="17"/>
  <c r="S135" i="17" s="1"/>
  <c r="T135" i="17" s="1"/>
  <c r="S173" i="17"/>
  <c r="T173" i="17" s="1"/>
  <c r="S195" i="17"/>
  <c r="T195" i="17" s="1"/>
  <c r="S207" i="17"/>
  <c r="T207" i="17" s="1"/>
  <c r="S187" i="17"/>
  <c r="T187" i="17" s="1"/>
  <c r="S190" i="17"/>
  <c r="T190" i="17" s="1"/>
  <c r="Q154" i="17"/>
  <c r="S154" i="17" s="1"/>
  <c r="T154" i="17" s="1"/>
  <c r="Q178" i="17"/>
  <c r="S178" i="17" s="1"/>
  <c r="S89" i="17"/>
  <c r="T89" i="17" s="1"/>
  <c r="D137" i="31"/>
  <c r="F137" i="31" s="1"/>
  <c r="G137" i="31" s="1"/>
  <c r="D127" i="31"/>
  <c r="Q67" i="17"/>
  <c r="S67" i="17" s="1"/>
  <c r="T67" i="17" s="1"/>
  <c r="Q131" i="17"/>
  <c r="S144" i="17"/>
  <c r="T144" i="17" s="1"/>
  <c r="R7" i="17"/>
  <c r="B17" i="29"/>
  <c r="R85" i="16"/>
  <c r="S85" i="16" s="1"/>
  <c r="B34" i="29"/>
  <c r="K18" i="29"/>
  <c r="S47" i="17"/>
  <c r="T47" i="17" s="1"/>
  <c r="Q60" i="17"/>
  <c r="Q59" i="17" s="1"/>
  <c r="S71" i="17"/>
  <c r="T71" i="17" s="1"/>
  <c r="Q9" i="17"/>
  <c r="Q90" i="17"/>
  <c r="X11" i="17" s="1"/>
  <c r="Q159" i="17"/>
  <c r="S159" i="17" s="1"/>
  <c r="T159" i="17" s="1"/>
  <c r="Q383" i="17"/>
  <c r="Q7" i="16"/>
  <c r="B77" i="29"/>
  <c r="B92" i="38" s="1"/>
  <c r="F92" i="38" s="1"/>
  <c r="G92" i="38" s="1"/>
  <c r="R78" i="16"/>
  <c r="S78" i="16" s="1"/>
  <c r="R64" i="16"/>
  <c r="S64" i="16" s="1"/>
  <c r="P63" i="16"/>
  <c r="B72" i="29" s="1"/>
  <c r="B87" i="38" s="1"/>
  <c r="R87" i="16"/>
  <c r="S87" i="16" s="1"/>
  <c r="B54" i="29" l="1"/>
  <c r="P86" i="16"/>
  <c r="F87" i="38"/>
  <c r="G87" i="38" s="1"/>
  <c r="G58" i="17"/>
  <c r="P58" i="17" s="1"/>
  <c r="P57" i="17" s="1"/>
  <c r="Q120" i="17"/>
  <c r="R86" i="16"/>
  <c r="S86" i="16" s="1"/>
  <c r="W12" i="16"/>
  <c r="P76" i="16"/>
  <c r="W10" i="16"/>
  <c r="L17" i="31"/>
  <c r="N17" i="31" s="1"/>
  <c r="S131" i="17"/>
  <c r="T131" i="17" s="1"/>
  <c r="X10" i="17"/>
  <c r="S121" i="17"/>
  <c r="T121" i="17" s="1"/>
  <c r="Q6" i="16"/>
  <c r="Q5" i="16" s="1"/>
  <c r="V7" i="16" s="1"/>
  <c r="S199" i="17"/>
  <c r="T199" i="17" s="1"/>
  <c r="R6" i="17"/>
  <c r="R5" i="17" s="1"/>
  <c r="W6" i="17" s="1"/>
  <c r="S60" i="17"/>
  <c r="T60" i="17" s="1"/>
  <c r="T178" i="17"/>
  <c r="S107" i="17"/>
  <c r="S16" i="17"/>
  <c r="T16" i="17" s="1"/>
  <c r="F77" i="31"/>
  <c r="G77" i="31" s="1"/>
  <c r="S106" i="17"/>
  <c r="T106" i="17" s="1"/>
  <c r="S90" i="17"/>
  <c r="T90" i="17" s="1"/>
  <c r="B43" i="31"/>
  <c r="S384" i="17"/>
  <c r="T384" i="17" s="1"/>
  <c r="F127" i="31"/>
  <c r="G127" i="31" s="1"/>
  <c r="F58" i="31"/>
  <c r="P9" i="16"/>
  <c r="P8" i="16" s="1"/>
  <c r="B64" i="29" s="1"/>
  <c r="R63" i="16"/>
  <c r="S63" i="16" s="1"/>
  <c r="F72" i="29"/>
  <c r="G72" i="29" s="1"/>
  <c r="F34" i="29"/>
  <c r="R68" i="16"/>
  <c r="S68" i="16" s="1"/>
  <c r="F77" i="29"/>
  <c r="G77" i="29" s="1"/>
  <c r="J18" i="29"/>
  <c r="L18" i="29" s="1"/>
  <c r="F18" i="29"/>
  <c r="F17" i="29" s="1"/>
  <c r="B9" i="32"/>
  <c r="F9" i="32" s="1"/>
  <c r="G9" i="32" s="1"/>
  <c r="S9" i="17"/>
  <c r="T9" i="17" s="1"/>
  <c r="S91" i="17"/>
  <c r="T91" i="17" s="1"/>
  <c r="R69" i="16"/>
  <c r="S69" i="16" s="1"/>
  <c r="Q86" i="17"/>
  <c r="S87" i="17"/>
  <c r="T87" i="17" s="1"/>
  <c r="S383" i="17"/>
  <c r="T383" i="17" s="1"/>
  <c r="Q382" i="17"/>
  <c r="R77" i="16"/>
  <c r="S77" i="16" s="1"/>
  <c r="R82" i="16"/>
  <c r="S82" i="16" s="1"/>
  <c r="R81" i="16"/>
  <c r="S81" i="16" s="1"/>
  <c r="J64" i="29" l="1"/>
  <c r="B79" i="38"/>
  <c r="B53" i="29"/>
  <c r="B14" i="32" s="1"/>
  <c r="F14" i="32" s="1"/>
  <c r="G14" i="32" s="1"/>
  <c r="F54" i="29"/>
  <c r="F43" i="31"/>
  <c r="G43" i="31" s="1"/>
  <c r="I42" i="38"/>
  <c r="M42" i="38" s="1"/>
  <c r="N42" i="38" s="1"/>
  <c r="Q56" i="17"/>
  <c r="Q57" i="17"/>
  <c r="S57" i="17" s="1"/>
  <c r="T57" i="17" s="1"/>
  <c r="B88" i="31"/>
  <c r="I87" i="38" s="1"/>
  <c r="Q105" i="17"/>
  <c r="F64" i="29"/>
  <c r="G64" i="29" s="1"/>
  <c r="P7" i="16"/>
  <c r="R9" i="16"/>
  <c r="S9" i="16" s="1"/>
  <c r="G58" i="31"/>
  <c r="G34" i="29"/>
  <c r="S382" i="17"/>
  <c r="T382" i="17" s="1"/>
  <c r="S210" i="17"/>
  <c r="T210" i="17" s="1"/>
  <c r="S211" i="17"/>
  <c r="T211" i="17" s="1"/>
  <c r="S120" i="17"/>
  <c r="T120" i="17" s="1"/>
  <c r="S59" i="17"/>
  <c r="T59" i="17" s="1"/>
  <c r="B30" i="31"/>
  <c r="I29" i="38" s="1"/>
  <c r="M29" i="38" s="1"/>
  <c r="N29" i="38" s="1"/>
  <c r="G18" i="29"/>
  <c r="G17" i="29"/>
  <c r="Q85" i="17"/>
  <c r="S85" i="17" s="1"/>
  <c r="T85" i="17" s="1"/>
  <c r="S86" i="17"/>
  <c r="T86" i="17" s="1"/>
  <c r="R8" i="16"/>
  <c r="S8" i="16" s="1"/>
  <c r="R76" i="16"/>
  <c r="S76" i="16" s="1"/>
  <c r="F53" i="29" l="1"/>
  <c r="G53" i="29" s="1"/>
  <c r="G54" i="29"/>
  <c r="F79" i="38"/>
  <c r="G79" i="38" s="1"/>
  <c r="Q16" i="38"/>
  <c r="S16" i="38" s="1"/>
  <c r="S56" i="17"/>
  <c r="T56" i="17" s="1"/>
  <c r="Q8" i="17"/>
  <c r="B17" i="31" s="1"/>
  <c r="I16" i="38" s="1"/>
  <c r="F88" i="31"/>
  <c r="G88" i="31" s="1"/>
  <c r="M87" i="38"/>
  <c r="N87" i="38" s="1"/>
  <c r="P6" i="16"/>
  <c r="P5" i="16" s="1"/>
  <c r="U21" i="16" s="1"/>
  <c r="U25" i="16" s="1"/>
  <c r="U30" i="16" s="1"/>
  <c r="W9" i="16"/>
  <c r="F30" i="31"/>
  <c r="G30" i="31" s="1"/>
  <c r="S8" i="17"/>
  <c r="F105" i="31"/>
  <c r="G105" i="31" s="1"/>
  <c r="R7" i="16"/>
  <c r="S7" i="16" s="1"/>
  <c r="X20" i="17" l="1"/>
  <c r="X9" i="17"/>
  <c r="X12" i="17" s="1"/>
  <c r="U7" i="16"/>
  <c r="U15" i="16"/>
  <c r="Q7" i="17"/>
  <c r="S7" i="17" s="1"/>
  <c r="T7" i="17" s="1"/>
  <c r="M16" i="38"/>
  <c r="N16" i="38" s="1"/>
  <c r="K17" i="31"/>
  <c r="V16" i="38"/>
  <c r="F17" i="31"/>
  <c r="G17" i="31" s="1"/>
  <c r="Q6" i="17"/>
  <c r="S6" i="17" s="1"/>
  <c r="T6" i="17" s="1"/>
  <c r="S105" i="17"/>
  <c r="T8" i="17"/>
  <c r="R6" i="16"/>
  <c r="S6" i="16" s="1"/>
  <c r="R5" i="16"/>
  <c r="S5" i="16" s="1"/>
  <c r="T105" i="17" l="1"/>
  <c r="XFD105" i="17" s="1"/>
  <c r="Q5" i="17"/>
  <c r="S5" i="17" l="1"/>
  <c r="T5" i="17" s="1"/>
  <c r="V6" i="17"/>
  <c r="S304" i="15"/>
  <c r="S288" i="15"/>
  <c r="S283" i="15"/>
  <c r="S279" i="15"/>
  <c r="T279" i="15" s="1"/>
  <c r="P255" i="15"/>
  <c r="P254" i="15" s="1"/>
  <c r="Q253" i="15" s="1"/>
  <c r="D42" i="31"/>
  <c r="R99" i="15"/>
  <c r="Q91" i="15"/>
  <c r="S67" i="15"/>
  <c r="T67" i="15" s="1"/>
  <c r="S46" i="15"/>
  <c r="T46" i="15" s="1"/>
  <c r="S37" i="15"/>
  <c r="T37" i="15" s="1"/>
  <c r="O74" i="14"/>
  <c r="P73" i="14" s="1"/>
  <c r="O70" i="14"/>
  <c r="Q69" i="14" s="1"/>
  <c r="R56" i="14"/>
  <c r="D71" i="29"/>
  <c r="R47" i="14"/>
  <c r="O54" i="14" l="1"/>
  <c r="S91" i="15"/>
  <c r="T91" i="15" s="1"/>
  <c r="L16" i="31"/>
  <c r="N16" i="31" s="1"/>
  <c r="D76" i="29"/>
  <c r="L63" i="29" s="1"/>
  <c r="R7" i="15"/>
  <c r="D65" i="31"/>
  <c r="F126" i="31"/>
  <c r="G126" i="31" s="1"/>
  <c r="O78" i="14"/>
  <c r="S275" i="15"/>
  <c r="S299" i="15"/>
  <c r="T299" i="15" s="1"/>
  <c r="S296" i="15"/>
  <c r="T296" i="15" s="1"/>
  <c r="S75" i="15"/>
  <c r="T75" i="15" s="1"/>
  <c r="S291" i="15"/>
  <c r="T291" i="15" s="1"/>
  <c r="S352" i="15"/>
  <c r="S70" i="15"/>
  <c r="T70" i="15" s="1"/>
  <c r="S319" i="15"/>
  <c r="T319" i="15" s="1"/>
  <c r="S22" i="15"/>
  <c r="T22" i="15" s="1"/>
  <c r="S32" i="15"/>
  <c r="T32" i="15" s="1"/>
  <c r="S47" i="15"/>
  <c r="T47" i="15" s="1"/>
  <c r="S53" i="15"/>
  <c r="T53" i="15" s="1"/>
  <c r="R104" i="15"/>
  <c r="S100" i="15"/>
  <c r="T100" i="15" s="1"/>
  <c r="Q99" i="15"/>
  <c r="S20" i="15"/>
  <c r="T20" i="15" s="1"/>
  <c r="S11" i="15"/>
  <c r="T11" i="15" s="1"/>
  <c r="S9" i="15"/>
  <c r="T9" i="15" s="1"/>
  <c r="S10" i="15"/>
  <c r="T10" i="15" s="1"/>
  <c r="S361" i="15"/>
  <c r="T361" i="15" s="1"/>
  <c r="R60" i="14"/>
  <c r="S60" i="14" s="1"/>
  <c r="B76" i="29"/>
  <c r="B91" i="38" s="1"/>
  <c r="F91" i="38" s="1"/>
  <c r="G91" i="38" s="1"/>
  <c r="R65" i="14"/>
  <c r="R9" i="14"/>
  <c r="S9" i="14" s="1"/>
  <c r="P69" i="14"/>
  <c r="Q73" i="14"/>
  <c r="R73" i="14" s="1"/>
  <c r="P53" i="14" l="1"/>
  <c r="P52" i="14" s="1"/>
  <c r="B71" i="29" s="1"/>
  <c r="P54" i="14"/>
  <c r="R54" i="14" s="1"/>
  <c r="S54" i="14" s="1"/>
  <c r="P77" i="14"/>
  <c r="P76" i="14" s="1"/>
  <c r="P78" i="14"/>
  <c r="R78" i="14" s="1"/>
  <c r="S78" i="14" s="1"/>
  <c r="J63" i="29"/>
  <c r="B86" i="38"/>
  <c r="F86" i="38" s="1"/>
  <c r="G86" i="38" s="1"/>
  <c r="R53" i="14"/>
  <c r="S53" i="14" s="1"/>
  <c r="P7" i="14"/>
  <c r="B16" i="29"/>
  <c r="P63" i="14"/>
  <c r="R6" i="15"/>
  <c r="R5" i="15" s="1"/>
  <c r="W6" i="15" s="1"/>
  <c r="R77" i="14"/>
  <c r="S77" i="14" s="1"/>
  <c r="Q86" i="15"/>
  <c r="S99" i="15"/>
  <c r="T99" i="15" s="1"/>
  <c r="B65" i="31"/>
  <c r="R59" i="14"/>
  <c r="S59" i="14" s="1"/>
  <c r="R52" i="14"/>
  <c r="S52" i="14" s="1"/>
  <c r="K17" i="29"/>
  <c r="F63" i="29"/>
  <c r="G63" i="29" s="1"/>
  <c r="S18" i="15"/>
  <c r="T18" i="15" s="1"/>
  <c r="B42" i="31"/>
  <c r="S106" i="15"/>
  <c r="T106" i="15" s="1"/>
  <c r="R8" i="14"/>
  <c r="S8" i="14" s="1"/>
  <c r="P68" i="14"/>
  <c r="R69" i="14"/>
  <c r="R64" i="14"/>
  <c r="S64" i="14" s="1"/>
  <c r="Q68" i="14"/>
  <c r="Q63" i="14" s="1"/>
  <c r="Q6" i="14" s="1"/>
  <c r="Q5" i="14" s="1"/>
  <c r="F42" i="31" l="1"/>
  <c r="G42" i="31" s="1"/>
  <c r="I41" i="38"/>
  <c r="M41" i="38" s="1"/>
  <c r="N41" i="38" s="1"/>
  <c r="F65" i="31"/>
  <c r="G65" i="31" s="1"/>
  <c r="I64" i="38"/>
  <c r="M64" i="38" s="1"/>
  <c r="N64" i="38" s="1"/>
  <c r="F16" i="29"/>
  <c r="G16" i="29" s="1"/>
  <c r="B15" i="38"/>
  <c r="Q19" i="15"/>
  <c r="Q7" i="15" s="1"/>
  <c r="P6" i="14"/>
  <c r="P5" i="14" s="1"/>
  <c r="U12" i="14" s="1"/>
  <c r="R76" i="14"/>
  <c r="S76" i="14" s="1"/>
  <c r="J17" i="29"/>
  <c r="L17" i="29" s="1"/>
  <c r="S86" i="15"/>
  <c r="T86" i="15" s="1"/>
  <c r="F76" i="29"/>
  <c r="F71" i="29"/>
  <c r="G71" i="29" s="1"/>
  <c r="Q104" i="15"/>
  <c r="S104" i="15" s="1"/>
  <c r="T104" i="15" s="1"/>
  <c r="S105" i="15"/>
  <c r="T105" i="15" s="1"/>
  <c r="R7" i="14"/>
  <c r="S7" i="14" s="1"/>
  <c r="R63" i="14"/>
  <c r="S63" i="14" s="1"/>
  <c r="R68" i="14"/>
  <c r="U29" i="14" l="1"/>
  <c r="U59" i="14"/>
  <c r="U61" i="14" s="1"/>
  <c r="R5" i="14"/>
  <c r="S5" i="14" s="1"/>
  <c r="F15" i="38"/>
  <c r="G15" i="38" s="1"/>
  <c r="Q15" i="38"/>
  <c r="S15" i="38" s="1"/>
  <c r="B16" i="31"/>
  <c r="B29" i="31"/>
  <c r="I28" i="38" s="1"/>
  <c r="S19" i="15"/>
  <c r="T19" i="15" s="1"/>
  <c r="G76" i="29"/>
  <c r="S8" i="15"/>
  <c r="T8" i="15" s="1"/>
  <c r="R6" i="14"/>
  <c r="S6" i="14" s="1"/>
  <c r="F16" i="31" l="1"/>
  <c r="G16" i="31" s="1"/>
  <c r="I15" i="38"/>
  <c r="M15" i="38" s="1"/>
  <c r="N15" i="38" s="1"/>
  <c r="M28" i="38"/>
  <c r="N28" i="38" s="1"/>
  <c r="F29" i="31"/>
  <c r="G29" i="31" s="1"/>
  <c r="S7" i="15"/>
  <c r="T7" i="15" s="1"/>
  <c r="R83" i="13" l="1"/>
  <c r="R82" i="13" s="1"/>
  <c r="S81" i="13"/>
  <c r="T81" i="13" s="1"/>
  <c r="S79" i="13"/>
  <c r="Q52" i="13"/>
  <c r="S52" i="13" s="1"/>
  <c r="T52" i="13" s="1"/>
  <c r="Q45" i="13"/>
  <c r="S45" i="13" s="1"/>
  <c r="T45" i="13" s="1"/>
  <c r="Q39" i="13"/>
  <c r="S39" i="13" s="1"/>
  <c r="T39" i="13" s="1"/>
  <c r="Q35" i="13"/>
  <c r="Q32" i="13"/>
  <c r="S32" i="13" s="1"/>
  <c r="T32" i="13" s="1"/>
  <c r="Q24" i="13"/>
  <c r="S24" i="13" s="1"/>
  <c r="T24" i="13" s="1"/>
  <c r="Q21" i="13"/>
  <c r="S11" i="13"/>
  <c r="T11" i="13" s="1"/>
  <c r="B86" i="29"/>
  <c r="Q26" i="12"/>
  <c r="Q25" i="12" s="1"/>
  <c r="Q24" i="12" s="1"/>
  <c r="P21" i="12"/>
  <c r="P20" i="12" s="1"/>
  <c r="R17" i="12"/>
  <c r="P13" i="12"/>
  <c r="B46" i="29" s="1"/>
  <c r="F46" i="29" s="1"/>
  <c r="G46" i="29" s="1"/>
  <c r="Q11" i="12"/>
  <c r="P9" i="12"/>
  <c r="Q8" i="12"/>
  <c r="D62" i="29" s="1"/>
  <c r="L62" i="29" s="1"/>
  <c r="F86" i="29" l="1"/>
  <c r="G86" i="29" s="1"/>
  <c r="B101" i="38"/>
  <c r="S35" i="13"/>
  <c r="T35" i="13" s="1"/>
  <c r="Q13" i="13"/>
  <c r="R59" i="13"/>
  <c r="R58" i="13" s="1"/>
  <c r="D41" i="31"/>
  <c r="L15" i="31" s="1"/>
  <c r="N15" i="31" s="1"/>
  <c r="R7" i="13"/>
  <c r="S12" i="13"/>
  <c r="T12" i="13" s="1"/>
  <c r="Q42" i="13"/>
  <c r="S42" i="13" s="1"/>
  <c r="T42" i="13" s="1"/>
  <c r="F86" i="31"/>
  <c r="G86" i="31" s="1"/>
  <c r="Q84" i="13"/>
  <c r="D125" i="31"/>
  <c r="Q7" i="12"/>
  <c r="Q6" i="12" s="1"/>
  <c r="Q5" i="12" s="1"/>
  <c r="K16" i="29"/>
  <c r="S10" i="13"/>
  <c r="T10" i="13" s="1"/>
  <c r="Q59" i="13"/>
  <c r="B58" i="31" s="1"/>
  <c r="I13" i="32" s="1"/>
  <c r="M13" i="32" s="1"/>
  <c r="N13" i="32" s="1"/>
  <c r="S60" i="13"/>
  <c r="S21" i="13"/>
  <c r="T21" i="13" s="1"/>
  <c r="XEM21" i="13"/>
  <c r="S27" i="13"/>
  <c r="T27" i="13" s="1"/>
  <c r="Q56" i="13"/>
  <c r="S57" i="13"/>
  <c r="T57" i="13" s="1"/>
  <c r="S9" i="13"/>
  <c r="T9" i="13" s="1"/>
  <c r="P8" i="12"/>
  <c r="B62" i="29" s="1"/>
  <c r="J62" i="29" s="1"/>
  <c r="R9" i="12"/>
  <c r="S9" i="12" s="1"/>
  <c r="R20" i="12"/>
  <c r="S20" i="12" s="1"/>
  <c r="R21" i="12"/>
  <c r="S21" i="12" s="1"/>
  <c r="R13" i="12"/>
  <c r="S13" i="12" s="1"/>
  <c r="P12" i="12"/>
  <c r="P26" i="12"/>
  <c r="R27" i="12"/>
  <c r="S27" i="12" s="1"/>
  <c r="F101" i="38" l="1"/>
  <c r="G101" i="38" s="1"/>
  <c r="Q14" i="38"/>
  <c r="S14" i="38" s="1"/>
  <c r="S84" i="13"/>
  <c r="T84" i="13" s="1"/>
  <c r="B125" i="31"/>
  <c r="F125" i="31" s="1"/>
  <c r="G125" i="31" s="1"/>
  <c r="Q83" i="13"/>
  <c r="Q82" i="13" s="1"/>
  <c r="S82" i="13" s="1"/>
  <c r="T82" i="13" s="1"/>
  <c r="R6" i="13"/>
  <c r="R5" i="13" s="1"/>
  <c r="W6" i="13" s="1"/>
  <c r="P11" i="12"/>
  <c r="R11" i="12" s="1"/>
  <c r="S11" i="12" s="1"/>
  <c r="S78" i="13"/>
  <c r="T78" i="13" s="1"/>
  <c r="S76" i="13"/>
  <c r="S56" i="13"/>
  <c r="T56" i="13" s="1"/>
  <c r="Q8" i="13"/>
  <c r="J16" i="29"/>
  <c r="L16" i="29" s="1"/>
  <c r="F62" i="29"/>
  <c r="G62" i="29" s="1"/>
  <c r="S14" i="13"/>
  <c r="T14" i="13" s="1"/>
  <c r="S59" i="13"/>
  <c r="S62" i="13"/>
  <c r="T62" i="13" s="1"/>
  <c r="R12" i="12"/>
  <c r="S12" i="12" s="1"/>
  <c r="P25" i="12"/>
  <c r="R26" i="12"/>
  <c r="S26" i="12" s="1"/>
  <c r="R8" i="12"/>
  <c r="S8" i="12" s="1"/>
  <c r="P7" i="12"/>
  <c r="P6" i="12" l="1"/>
  <c r="S83" i="13"/>
  <c r="T83" i="13" s="1"/>
  <c r="T76" i="13"/>
  <c r="S77" i="13"/>
  <c r="T77" i="13" s="1"/>
  <c r="B28" i="31"/>
  <c r="I27" i="38" s="1"/>
  <c r="M27" i="38" s="1"/>
  <c r="N27" i="38" s="1"/>
  <c r="B15" i="31"/>
  <c r="S13" i="13"/>
  <c r="T13" i="13" s="1"/>
  <c r="S61" i="13"/>
  <c r="T61" i="13" s="1"/>
  <c r="B41" i="31"/>
  <c r="S8" i="13"/>
  <c r="T8" i="13" s="1"/>
  <c r="Q58" i="13"/>
  <c r="Q7" i="13"/>
  <c r="R7" i="12"/>
  <c r="S7" i="12" s="1"/>
  <c r="P24" i="12"/>
  <c r="R24" i="12" s="1"/>
  <c r="S24" i="12" s="1"/>
  <c r="R25" i="12"/>
  <c r="S25" i="12" s="1"/>
  <c r="F41" i="31" l="1"/>
  <c r="G41" i="31" s="1"/>
  <c r="I40" i="38"/>
  <c r="M40" i="38" s="1"/>
  <c r="N40" i="38" s="1"/>
  <c r="F15" i="31"/>
  <c r="G15" i="31" s="1"/>
  <c r="I14" i="38"/>
  <c r="F28" i="31"/>
  <c r="G28" i="31" s="1"/>
  <c r="S58" i="13"/>
  <c r="T58" i="13" s="1"/>
  <c r="Q6" i="13"/>
  <c r="K15" i="31"/>
  <c r="S7" i="13"/>
  <c r="T7" i="13" s="1"/>
  <c r="R6" i="12"/>
  <c r="P5" i="12"/>
  <c r="W5" i="12" s="1"/>
  <c r="V14" i="38" l="1"/>
  <c r="M14" i="38"/>
  <c r="N14" i="38" s="1"/>
  <c r="Q5" i="13"/>
  <c r="V6" i="13" s="1"/>
  <c r="S6" i="13"/>
  <c r="T6" i="13" s="1"/>
  <c r="R5" i="12"/>
  <c r="S5" i="12" s="1"/>
  <c r="S6" i="12"/>
  <c r="S5" i="13" l="1"/>
  <c r="T5" i="13" s="1"/>
  <c r="B136" i="31"/>
  <c r="I135" i="38" s="1"/>
  <c r="M135" i="38" s="1"/>
  <c r="N135" i="38" s="1"/>
  <c r="Q167" i="11"/>
  <c r="Q166" i="11" s="1"/>
  <c r="Q162" i="11"/>
  <c r="Q161" i="11" s="1"/>
  <c r="S116" i="11"/>
  <c r="T116" i="11" s="1"/>
  <c r="Q40" i="11"/>
  <c r="S40" i="11" s="1"/>
  <c r="T40" i="11" s="1"/>
  <c r="S22" i="11"/>
  <c r="T22" i="11" s="1"/>
  <c r="S11" i="11"/>
  <c r="T11" i="11" s="1"/>
  <c r="B85" i="29"/>
  <c r="Q51" i="10"/>
  <c r="Q50" i="10" s="1"/>
  <c r="Q49" i="10" s="1"/>
  <c r="B14" i="29"/>
  <c r="B13" i="38" s="1"/>
  <c r="Q45" i="10"/>
  <c r="P42" i="10"/>
  <c r="P35" i="10"/>
  <c r="B45" i="29" s="1"/>
  <c r="F45" i="29" s="1"/>
  <c r="G45" i="29" s="1"/>
  <c r="Q34" i="10"/>
  <c r="P30" i="10"/>
  <c r="Q29" i="10"/>
  <c r="D70" i="29" s="1"/>
  <c r="Q8" i="10"/>
  <c r="D61" i="29" s="1"/>
  <c r="L61" i="29" s="1"/>
  <c r="F85" i="29" l="1"/>
  <c r="G85" i="29" s="1"/>
  <c r="B100" i="38"/>
  <c r="F100" i="38" s="1"/>
  <c r="G100" i="38" s="1"/>
  <c r="B103" i="31"/>
  <c r="B100" i="31" s="1"/>
  <c r="I20" i="32" s="1"/>
  <c r="F13" i="38"/>
  <c r="G13" i="38" s="1"/>
  <c r="S162" i="11"/>
  <c r="T162" i="11" s="1"/>
  <c r="S52" i="11"/>
  <c r="T52" i="11" s="1"/>
  <c r="B53" i="31"/>
  <c r="F53" i="31" s="1"/>
  <c r="G53" i="31" s="1"/>
  <c r="Q33" i="10"/>
  <c r="F33" i="29"/>
  <c r="G33" i="29" s="1"/>
  <c r="B33" i="29"/>
  <c r="B12" i="32" s="1"/>
  <c r="F12" i="32" s="1"/>
  <c r="G12" i="32" s="1"/>
  <c r="D40" i="31"/>
  <c r="L14" i="31" s="1"/>
  <c r="N14" i="31" s="1"/>
  <c r="F28" i="29"/>
  <c r="G28" i="29" s="1"/>
  <c r="P38" i="10"/>
  <c r="R38" i="10" s="1"/>
  <c r="S38" i="10" s="1"/>
  <c r="S50" i="11"/>
  <c r="T50" i="11" s="1"/>
  <c r="S145" i="11"/>
  <c r="T145" i="11" s="1"/>
  <c r="Q31" i="11"/>
  <c r="S31" i="11" s="1"/>
  <c r="T31" i="11" s="1"/>
  <c r="S142" i="11"/>
  <c r="T142" i="11" s="1"/>
  <c r="R51" i="11"/>
  <c r="R6" i="11" s="1"/>
  <c r="R5" i="11" s="1"/>
  <c r="F136" i="31"/>
  <c r="G136" i="31" s="1"/>
  <c r="Q138" i="11"/>
  <c r="S138" i="11" s="1"/>
  <c r="T138" i="11" s="1"/>
  <c r="Q7" i="10"/>
  <c r="S150" i="11"/>
  <c r="T150" i="11" s="1"/>
  <c r="Q125" i="11"/>
  <c r="S125" i="11" s="1"/>
  <c r="T125" i="11" s="1"/>
  <c r="S43" i="11"/>
  <c r="T43" i="11" s="1"/>
  <c r="Q117" i="11"/>
  <c r="S117" i="11" s="1"/>
  <c r="T117" i="11" s="1"/>
  <c r="Q121" i="11"/>
  <c r="S121" i="11" s="1"/>
  <c r="T121" i="11" s="1"/>
  <c r="Q24" i="11"/>
  <c r="S155" i="11"/>
  <c r="T155" i="11" s="1"/>
  <c r="Q134" i="11"/>
  <c r="S134" i="11" s="1"/>
  <c r="T134" i="11" s="1"/>
  <c r="Q112" i="11"/>
  <c r="S9" i="11"/>
  <c r="T9" i="11" s="1"/>
  <c r="S53" i="11"/>
  <c r="T53" i="11" s="1"/>
  <c r="P29" i="10"/>
  <c r="R30" i="10"/>
  <c r="S30" i="10" s="1"/>
  <c r="R52" i="10"/>
  <c r="S52" i="10" s="1"/>
  <c r="P51" i="10"/>
  <c r="P45" i="10"/>
  <c r="R45" i="10" s="1"/>
  <c r="S45" i="10" s="1"/>
  <c r="R46" i="10"/>
  <c r="S46" i="10" s="1"/>
  <c r="R9" i="10"/>
  <c r="S9" i="10" s="1"/>
  <c r="R42" i="10"/>
  <c r="P34" i="10"/>
  <c r="R35" i="10"/>
  <c r="S35" i="10" s="1"/>
  <c r="R27" i="10"/>
  <c r="S27" i="10" s="1"/>
  <c r="Q103" i="11" l="1"/>
  <c r="Q6" i="10"/>
  <c r="Q5" i="10" s="1"/>
  <c r="Q23" i="11"/>
  <c r="I102" i="38"/>
  <c r="M102" i="38" s="1"/>
  <c r="B70" i="29"/>
  <c r="S161" i="11"/>
  <c r="T161" i="11" s="1"/>
  <c r="B96" i="31"/>
  <c r="S24" i="11"/>
  <c r="T24" i="11" s="1"/>
  <c r="S112" i="11"/>
  <c r="T112" i="11" s="1"/>
  <c r="P33" i="10"/>
  <c r="R33" i="10" s="1"/>
  <c r="S33" i="10" s="1"/>
  <c r="J55" i="29"/>
  <c r="D9" i="29"/>
  <c r="F14" i="29"/>
  <c r="W6" i="11"/>
  <c r="S10" i="11"/>
  <c r="T10" i="11" s="1"/>
  <c r="F124" i="31"/>
  <c r="G124" i="31" s="1"/>
  <c r="K15" i="29"/>
  <c r="S78" i="11"/>
  <c r="T78" i="11" s="1"/>
  <c r="P8" i="10"/>
  <c r="S167" i="11"/>
  <c r="T167" i="11" s="1"/>
  <c r="R29" i="10"/>
  <c r="S29" i="10" s="1"/>
  <c r="P50" i="10"/>
  <c r="R51" i="10"/>
  <c r="S51" i="10" s="1"/>
  <c r="R34" i="10"/>
  <c r="S34" i="10" s="1"/>
  <c r="D8" i="29" l="1"/>
  <c r="O10" i="29"/>
  <c r="D7" i="28"/>
  <c r="D6" i="28" s="1"/>
  <c r="F96" i="31"/>
  <c r="G96" i="31" s="1"/>
  <c r="I95" i="38"/>
  <c r="M95" i="38" s="1"/>
  <c r="N95" i="38" s="1"/>
  <c r="I99" i="38"/>
  <c r="F70" i="29"/>
  <c r="G70" i="29" s="1"/>
  <c r="B85" i="38"/>
  <c r="F85" i="38" s="1"/>
  <c r="G85" i="38" s="1"/>
  <c r="N102" i="38"/>
  <c r="M99" i="38"/>
  <c r="N99" i="38" s="1"/>
  <c r="B61" i="29"/>
  <c r="F61" i="29" s="1"/>
  <c r="G61" i="29" s="1"/>
  <c r="B76" i="38"/>
  <c r="S103" i="11"/>
  <c r="T103" i="11" s="1"/>
  <c r="B85" i="31"/>
  <c r="I84" i="38" s="1"/>
  <c r="S185" i="11"/>
  <c r="S104" i="11"/>
  <c r="T104" i="11" s="1"/>
  <c r="F103" i="31"/>
  <c r="G103" i="31" s="1"/>
  <c r="F9" i="28"/>
  <c r="G9" i="28" s="1"/>
  <c r="E9" i="28"/>
  <c r="D8" i="32"/>
  <c r="D7" i="32" s="1"/>
  <c r="G14" i="29"/>
  <c r="B14" i="31"/>
  <c r="P7" i="10"/>
  <c r="P6" i="10" s="1"/>
  <c r="P5" i="10" s="1"/>
  <c r="R8" i="10"/>
  <c r="S8" i="10" s="1"/>
  <c r="B27" i="31"/>
  <c r="I26" i="38" s="1"/>
  <c r="M26" i="38" s="1"/>
  <c r="N26" i="38" s="1"/>
  <c r="S54" i="11"/>
  <c r="T54" i="11" s="1"/>
  <c r="S55" i="11"/>
  <c r="T55" i="11" s="1"/>
  <c r="S23" i="11"/>
  <c r="T23" i="11" s="1"/>
  <c r="P49" i="10"/>
  <c r="R49" i="10" s="1"/>
  <c r="S49" i="10" s="1"/>
  <c r="R50" i="10"/>
  <c r="S50" i="10" s="1"/>
  <c r="F14" i="31" l="1"/>
  <c r="G14" i="31" s="1"/>
  <c r="I13" i="38"/>
  <c r="M13" i="38" s="1"/>
  <c r="N13" i="38" s="1"/>
  <c r="F76" i="38"/>
  <c r="G76" i="38" s="1"/>
  <c r="Q13" i="38"/>
  <c r="S13" i="38" s="1"/>
  <c r="J15" i="29"/>
  <c r="L15" i="29" s="1"/>
  <c r="J61" i="29"/>
  <c r="F85" i="31"/>
  <c r="G85" i="31" s="1"/>
  <c r="F27" i="31"/>
  <c r="G27" i="31" s="1"/>
  <c r="S166" i="11"/>
  <c r="T166" i="11" s="1"/>
  <c r="Q102" i="11"/>
  <c r="S102" i="11" s="1"/>
  <c r="T102" i="11" s="1"/>
  <c r="Q7" i="11"/>
  <c r="S7" i="11" s="1"/>
  <c r="T7" i="11" s="1"/>
  <c r="S8" i="11"/>
  <c r="T8" i="11" s="1"/>
  <c r="R7" i="10"/>
  <c r="S7" i="10" s="1"/>
  <c r="E10" i="28"/>
  <c r="E8" i="28"/>
  <c r="E7" i="28"/>
  <c r="Q51" i="11"/>
  <c r="S51" i="11" s="1"/>
  <c r="T51" i="11" s="1"/>
  <c r="B40" i="31"/>
  <c r="R6" i="10"/>
  <c r="S6" i="10" s="1"/>
  <c r="F40" i="31" l="1"/>
  <c r="G40" i="31" s="1"/>
  <c r="I39" i="38"/>
  <c r="M39" i="38" s="1"/>
  <c r="N39" i="38" s="1"/>
  <c r="V13" i="38"/>
  <c r="M84" i="38"/>
  <c r="N84" i="38" s="1"/>
  <c r="R5" i="10"/>
  <c r="S5" i="10" s="1"/>
  <c r="E6" i="28"/>
  <c r="Q6" i="11"/>
  <c r="Q5" i="11" s="1"/>
  <c r="V42" i="11" s="1"/>
  <c r="K14" i="31"/>
  <c r="V6" i="11" l="1"/>
  <c r="V118" i="11"/>
  <c r="S6" i="11"/>
  <c r="T6" i="11" s="1"/>
  <c r="S5" i="11"/>
  <c r="T5" i="11" s="1"/>
  <c r="B135" i="31" l="1"/>
  <c r="I134" i="38" s="1"/>
  <c r="M134" i="38" s="1"/>
  <c r="N134" i="38" s="1"/>
  <c r="R281" i="9"/>
  <c r="R280" i="9" s="1"/>
  <c r="R7" i="9"/>
  <c r="S91" i="9"/>
  <c r="T91" i="9" s="1"/>
  <c r="Q77" i="9"/>
  <c r="S77" i="9" s="1"/>
  <c r="T77" i="9" s="1"/>
  <c r="S62" i="9"/>
  <c r="T62" i="9" s="1"/>
  <c r="Q51" i="9"/>
  <c r="T23" i="9"/>
  <c r="P38" i="8"/>
  <c r="R39" i="8" s="1"/>
  <c r="S39" i="8" s="1"/>
  <c r="Q37" i="8"/>
  <c r="Q36" i="8" s="1"/>
  <c r="Q35" i="8" s="1"/>
  <c r="P32" i="8"/>
  <c r="Q31" i="8"/>
  <c r="Q29" i="8"/>
  <c r="P26" i="8"/>
  <c r="P21" i="8"/>
  <c r="D69" i="29"/>
  <c r="L60" i="29" s="1"/>
  <c r="B60" i="29"/>
  <c r="B75" i="38" s="1"/>
  <c r="F75" i="38" s="1"/>
  <c r="G75" i="38" s="1"/>
  <c r="B44" i="29" l="1"/>
  <c r="F44" i="29" s="1"/>
  <c r="G44" i="29" s="1"/>
  <c r="P27" i="8"/>
  <c r="R27" i="8" s="1"/>
  <c r="S27" i="8" s="1"/>
  <c r="P25" i="8"/>
  <c r="R6" i="9"/>
  <c r="R21" i="8"/>
  <c r="S21" i="8" s="1"/>
  <c r="P22" i="8"/>
  <c r="R22" i="8" s="1"/>
  <c r="S22" i="8" s="1"/>
  <c r="P20" i="8"/>
  <c r="B13" i="29"/>
  <c r="B12" i="38" s="1"/>
  <c r="R33" i="8"/>
  <c r="S33" i="8" s="1"/>
  <c r="S51" i="9"/>
  <c r="T51" i="9" s="1"/>
  <c r="Q7" i="8"/>
  <c r="D64" i="31"/>
  <c r="D39" i="31"/>
  <c r="P37" i="8"/>
  <c r="P36" i="8" s="1"/>
  <c r="B84" i="29"/>
  <c r="B99" i="38" s="1"/>
  <c r="B27" i="29"/>
  <c r="F27" i="29" s="1"/>
  <c r="G27" i="29" s="1"/>
  <c r="Q69" i="9"/>
  <c r="S69" i="9" s="1"/>
  <c r="T69" i="9" s="1"/>
  <c r="S251" i="9"/>
  <c r="T251" i="9" s="1"/>
  <c r="S252" i="9"/>
  <c r="T252" i="9" s="1"/>
  <c r="S81" i="9"/>
  <c r="T81" i="9" s="1"/>
  <c r="S164" i="9"/>
  <c r="T164" i="9" s="1"/>
  <c r="D135" i="31"/>
  <c r="F135" i="31" s="1"/>
  <c r="G135" i="31" s="1"/>
  <c r="D123" i="31"/>
  <c r="Q24" i="8"/>
  <c r="K14" i="29"/>
  <c r="F60" i="29"/>
  <c r="G60" i="29" s="1"/>
  <c r="S54" i="9"/>
  <c r="T54" i="9" s="1"/>
  <c r="S42" i="9"/>
  <c r="T42" i="9" s="1"/>
  <c r="Q74" i="9"/>
  <c r="S180" i="9"/>
  <c r="T180" i="9" s="1"/>
  <c r="S37" i="9"/>
  <c r="T37" i="9" s="1"/>
  <c r="Q65" i="9"/>
  <c r="S65" i="9" s="1"/>
  <c r="T65" i="9" s="1"/>
  <c r="S9" i="9"/>
  <c r="T9" i="9" s="1"/>
  <c r="S90" i="9"/>
  <c r="T90" i="9" s="1"/>
  <c r="B52" i="31"/>
  <c r="F52" i="31" s="1"/>
  <c r="G52" i="31" s="1"/>
  <c r="Q282" i="9"/>
  <c r="R32" i="8"/>
  <c r="S32" i="8" s="1"/>
  <c r="P31" i="8"/>
  <c r="R31" i="8" s="1"/>
  <c r="S31" i="8" s="1"/>
  <c r="R8" i="8"/>
  <c r="S8" i="8" s="1"/>
  <c r="R26" i="8"/>
  <c r="S26" i="8" s="1"/>
  <c r="R38" i="8"/>
  <c r="S38" i="8" s="1"/>
  <c r="F99" i="38" l="1"/>
  <c r="L13" i="31"/>
  <c r="N13" i="31" s="1"/>
  <c r="Q24" i="9"/>
  <c r="W19" i="9" s="1"/>
  <c r="S74" i="9"/>
  <c r="T74" i="9" s="1"/>
  <c r="R37" i="8"/>
  <c r="S37" i="8" s="1"/>
  <c r="F84" i="29"/>
  <c r="G84" i="29" s="1"/>
  <c r="F13" i="29"/>
  <c r="G13" i="29" s="1"/>
  <c r="F12" i="38"/>
  <c r="G12" i="38" s="1"/>
  <c r="R5" i="9"/>
  <c r="Q6" i="8"/>
  <c r="Q5" i="8" s="1"/>
  <c r="P29" i="8"/>
  <c r="R29" i="8" s="1"/>
  <c r="S29" i="8" s="1"/>
  <c r="R30" i="8"/>
  <c r="S30" i="8" s="1"/>
  <c r="S101" i="9"/>
  <c r="T101" i="9" s="1"/>
  <c r="R20" i="8"/>
  <c r="S20" i="8" s="1"/>
  <c r="B69" i="29"/>
  <c r="F123" i="31"/>
  <c r="G123" i="31" s="1"/>
  <c r="B64" i="31"/>
  <c r="S10" i="9"/>
  <c r="T10" i="9" s="1"/>
  <c r="S25" i="9"/>
  <c r="T25" i="9" s="1"/>
  <c r="Q281" i="9"/>
  <c r="S282" i="9"/>
  <c r="T282" i="9" s="1"/>
  <c r="Q98" i="9"/>
  <c r="Q97" i="9" s="1"/>
  <c r="R36" i="8"/>
  <c r="S36" i="8" s="1"/>
  <c r="P35" i="8"/>
  <c r="R35" i="8" s="1"/>
  <c r="S35" i="8" s="1"/>
  <c r="R25" i="8"/>
  <c r="S25" i="8" s="1"/>
  <c r="P7" i="8"/>
  <c r="X9" i="9" l="1"/>
  <c r="G99" i="38"/>
  <c r="P24" i="8"/>
  <c r="J60" i="29"/>
  <c r="B84" i="38"/>
  <c r="F64" i="31"/>
  <c r="G64" i="31" s="1"/>
  <c r="I63" i="38"/>
  <c r="M63" i="38" s="1"/>
  <c r="N63" i="38" s="1"/>
  <c r="Q7" i="9"/>
  <c r="B26" i="31"/>
  <c r="B84" i="31"/>
  <c r="I83" i="38" s="1"/>
  <c r="S240" i="9"/>
  <c r="S242" i="9"/>
  <c r="T242" i="9" s="1"/>
  <c r="F69" i="29"/>
  <c r="G69" i="29" s="1"/>
  <c r="J14" i="29"/>
  <c r="L14" i="29" s="1"/>
  <c r="S281" i="9"/>
  <c r="T281" i="9" s="1"/>
  <c r="Q280" i="9"/>
  <c r="S241" i="9" s="1"/>
  <c r="T241" i="9" s="1"/>
  <c r="S24" i="9"/>
  <c r="T24" i="9" s="1"/>
  <c r="S98" i="9"/>
  <c r="T98" i="9" s="1"/>
  <c r="R7" i="8"/>
  <c r="S7" i="8" s="1"/>
  <c r="R24" i="8" l="1"/>
  <c r="S24" i="8" s="1"/>
  <c r="P6" i="8"/>
  <c r="P5" i="8" s="1"/>
  <c r="F84" i="38"/>
  <c r="G84" i="38" s="1"/>
  <c r="Q12" i="38"/>
  <c r="S12" i="38" s="1"/>
  <c r="F26" i="31"/>
  <c r="G26" i="31" s="1"/>
  <c r="I25" i="38"/>
  <c r="M25" i="38" s="1"/>
  <c r="N25" i="38" s="1"/>
  <c r="F84" i="31"/>
  <c r="G84" i="31" s="1"/>
  <c r="Q6" i="9"/>
  <c r="Q5" i="9" s="1"/>
  <c r="S97" i="9"/>
  <c r="T97" i="9" s="1"/>
  <c r="F13" i="31"/>
  <c r="G13" i="31" s="1"/>
  <c r="S280" i="9"/>
  <c r="S100" i="9"/>
  <c r="T100" i="9" s="1"/>
  <c r="F39" i="31"/>
  <c r="G39" i="31" s="1"/>
  <c r="S7" i="9"/>
  <c r="T7" i="9" s="1"/>
  <c r="S8" i="9"/>
  <c r="T8" i="9" s="1"/>
  <c r="R6" i="8"/>
  <c r="S6" i="8" s="1"/>
  <c r="R5" i="8" l="1"/>
  <c r="S5" i="8" s="1"/>
  <c r="M83" i="38"/>
  <c r="N83" i="38" s="1"/>
  <c r="V12" i="38"/>
  <c r="K13" i="31"/>
  <c r="T280" i="9"/>
  <c r="T240" i="9" l="1"/>
  <c r="S6" i="9"/>
  <c r="T6" i="9" s="1"/>
  <c r="S5" i="9"/>
  <c r="T5" i="9" s="1"/>
  <c r="R105" i="7" l="1"/>
  <c r="R104" i="7" s="1"/>
  <c r="R102" i="7"/>
  <c r="R101" i="7" s="1"/>
  <c r="R97" i="7"/>
  <c r="Q87" i="7"/>
  <c r="D63" i="31"/>
  <c r="S64" i="7"/>
  <c r="T64" i="7" s="1"/>
  <c r="Q53" i="7"/>
  <c r="S53" i="7" s="1"/>
  <c r="T53" i="7" s="1"/>
  <c r="S50" i="7"/>
  <c r="Q43" i="7"/>
  <c r="S43" i="7" s="1"/>
  <c r="T43" i="7" s="1"/>
  <c r="S42" i="7"/>
  <c r="T42" i="7" s="1"/>
  <c r="Q33" i="7"/>
  <c r="S33" i="7" s="1"/>
  <c r="T33" i="7" s="1"/>
  <c r="Q30" i="7"/>
  <c r="S11" i="7"/>
  <c r="T11" i="7" s="1"/>
  <c r="P33" i="6"/>
  <c r="B83" i="29" s="1"/>
  <c r="Q32" i="6"/>
  <c r="Q31" i="6" s="1"/>
  <c r="Q30" i="6" s="1"/>
  <c r="Q26" i="6"/>
  <c r="Q7" i="6" s="1"/>
  <c r="Q6" i="6" s="1"/>
  <c r="Q5" i="6" s="1"/>
  <c r="P13" i="6"/>
  <c r="P9" i="6"/>
  <c r="P8" i="6" s="1"/>
  <c r="S30" i="7" l="1"/>
  <c r="T30" i="7" s="1"/>
  <c r="F83" i="29"/>
  <c r="G83" i="29" s="1"/>
  <c r="B98" i="38"/>
  <c r="D81" i="31"/>
  <c r="K19" i="32" s="1"/>
  <c r="R8" i="6"/>
  <c r="S8" i="6" s="1"/>
  <c r="B43" i="29"/>
  <c r="F43" i="29" s="1"/>
  <c r="G43" i="29" s="1"/>
  <c r="P19" i="6"/>
  <c r="P12" i="6" s="1"/>
  <c r="R12" i="6" s="1"/>
  <c r="S12" i="6" s="1"/>
  <c r="Q46" i="7"/>
  <c r="S46" i="7" s="1"/>
  <c r="T46" i="7" s="1"/>
  <c r="Q79" i="7"/>
  <c r="Q69" i="7"/>
  <c r="S69" i="7" s="1"/>
  <c r="T69" i="7" s="1"/>
  <c r="D38" i="31"/>
  <c r="L12" i="31" s="1"/>
  <c r="N12" i="31" s="1"/>
  <c r="R77" i="7"/>
  <c r="R6" i="7" s="1"/>
  <c r="R5" i="7" s="1"/>
  <c r="W6" i="7" s="1"/>
  <c r="S56" i="7"/>
  <c r="T56" i="7" s="1"/>
  <c r="B26" i="29"/>
  <c r="S36" i="7"/>
  <c r="T36" i="7" s="1"/>
  <c r="S59" i="7"/>
  <c r="T59" i="7" s="1"/>
  <c r="S87" i="7"/>
  <c r="T87" i="7" s="1"/>
  <c r="Q74" i="7"/>
  <c r="S74" i="7" s="1"/>
  <c r="T74" i="7" s="1"/>
  <c r="Q106" i="7"/>
  <c r="B122" i="31" s="1"/>
  <c r="Q102" i="7"/>
  <c r="S103" i="7"/>
  <c r="T103" i="7" s="1"/>
  <c r="S9" i="7"/>
  <c r="T9" i="7" s="1"/>
  <c r="R33" i="6"/>
  <c r="S33" i="6" s="1"/>
  <c r="P32" i="6"/>
  <c r="R13" i="6"/>
  <c r="S13" i="6" s="1"/>
  <c r="R9" i="6"/>
  <c r="S9" i="6" s="1"/>
  <c r="Q11" i="38" l="1"/>
  <c r="S11" i="38" s="1"/>
  <c r="F98" i="38"/>
  <c r="G98" i="38" s="1"/>
  <c r="Q17" i="7"/>
  <c r="R19" i="6"/>
  <c r="S19" i="6" s="1"/>
  <c r="F12" i="29"/>
  <c r="G12" i="29" s="1"/>
  <c r="P26" i="6"/>
  <c r="R26" i="6" s="1"/>
  <c r="S26" i="6" s="1"/>
  <c r="R27" i="6"/>
  <c r="S27" i="6" s="1"/>
  <c r="B32" i="29"/>
  <c r="B31" i="29" s="1"/>
  <c r="S106" i="7"/>
  <c r="T106" i="7" s="1"/>
  <c r="B51" i="31"/>
  <c r="F51" i="31" s="1"/>
  <c r="G51" i="31" s="1"/>
  <c r="S79" i="7"/>
  <c r="T79" i="7" s="1"/>
  <c r="S100" i="7"/>
  <c r="T100" i="7" s="1"/>
  <c r="Q73" i="7"/>
  <c r="Q105" i="7"/>
  <c r="S105" i="7" s="1"/>
  <c r="T105" i="7" s="1"/>
  <c r="B56" i="31"/>
  <c r="F26" i="29"/>
  <c r="G26" i="29" s="1"/>
  <c r="Q78" i="7"/>
  <c r="S10" i="7"/>
  <c r="T10" i="7" s="1"/>
  <c r="F122" i="31"/>
  <c r="S99" i="7"/>
  <c r="T99" i="7" s="1"/>
  <c r="Q101" i="7"/>
  <c r="S102" i="7"/>
  <c r="T102" i="7" s="1"/>
  <c r="P31" i="6"/>
  <c r="R32" i="6"/>
  <c r="S32" i="6" s="1"/>
  <c r="J13" i="29" l="1"/>
  <c r="L13" i="29" s="1"/>
  <c r="Q104" i="7"/>
  <c r="S104" i="7" s="1"/>
  <c r="T104" i="7" s="1"/>
  <c r="S18" i="7"/>
  <c r="T18" i="7" s="1"/>
  <c r="S17" i="7"/>
  <c r="T17" i="7" s="1"/>
  <c r="P7" i="6"/>
  <c r="R7" i="6" s="1"/>
  <c r="S7" i="6" s="1"/>
  <c r="I12" i="32"/>
  <c r="M12" i="32" s="1"/>
  <c r="N12" i="32" s="1"/>
  <c r="F32" i="29"/>
  <c r="F31" i="29" s="1"/>
  <c r="B11" i="32"/>
  <c r="F11" i="32" s="1"/>
  <c r="G11" i="32" s="1"/>
  <c r="S78" i="7"/>
  <c r="T78" i="7" s="1"/>
  <c r="S73" i="7"/>
  <c r="T73" i="7" s="1"/>
  <c r="S101" i="7"/>
  <c r="T101" i="7" s="1"/>
  <c r="B63" i="31"/>
  <c r="F57" i="31"/>
  <c r="F56" i="31" s="1"/>
  <c r="G122" i="31"/>
  <c r="Q97" i="7"/>
  <c r="S98" i="7"/>
  <c r="P30" i="6"/>
  <c r="R30" i="6" s="1"/>
  <c r="S30" i="6" s="1"/>
  <c r="R31" i="6"/>
  <c r="S31" i="6" s="1"/>
  <c r="F63" i="31" l="1"/>
  <c r="G63" i="31" s="1"/>
  <c r="I62" i="38"/>
  <c r="M62" i="38" s="1"/>
  <c r="N62" i="38" s="1"/>
  <c r="P6" i="6"/>
  <c r="R6" i="6" s="1"/>
  <c r="S6" i="6" s="1"/>
  <c r="B25" i="31"/>
  <c r="I24" i="38" s="1"/>
  <c r="G56" i="31"/>
  <c r="G57" i="31"/>
  <c r="G31" i="29"/>
  <c r="G32" i="29"/>
  <c r="B12" i="31"/>
  <c r="Q7" i="7"/>
  <c r="S8" i="7"/>
  <c r="T8" i="7" s="1"/>
  <c r="Q77" i="7"/>
  <c r="S77" i="7" s="1"/>
  <c r="T77" i="7" s="1"/>
  <c r="B38" i="31"/>
  <c r="S97" i="7"/>
  <c r="T97" i="7" s="1"/>
  <c r="T98" i="7"/>
  <c r="P5" i="6"/>
  <c r="F38" i="31" l="1"/>
  <c r="G38" i="31" s="1"/>
  <c r="I37" i="38"/>
  <c r="M37" i="38" s="1"/>
  <c r="N37" i="38" s="1"/>
  <c r="F12" i="31"/>
  <c r="G12" i="31" s="1"/>
  <c r="I11" i="38"/>
  <c r="M11" i="38" s="1"/>
  <c r="N11" i="38" s="1"/>
  <c r="R5" i="6"/>
  <c r="S5" i="6" s="1"/>
  <c r="T8" i="6"/>
  <c r="T10" i="6" s="1"/>
  <c r="V11" i="38"/>
  <c r="M24" i="38"/>
  <c r="N24" i="38" s="1"/>
  <c r="F25" i="31"/>
  <c r="G25" i="31" s="1"/>
  <c r="Q6" i="7"/>
  <c r="Q5" i="7" s="1"/>
  <c r="V6" i="7" s="1"/>
  <c r="S7" i="7"/>
  <c r="T7" i="7" s="1"/>
  <c r="K12" i="31"/>
  <c r="S6" i="7" l="1"/>
  <c r="T6" i="7" s="1"/>
  <c r="S5" i="7"/>
  <c r="T5" i="7" l="1"/>
  <c r="B134" i="31"/>
  <c r="R322" i="5"/>
  <c r="R321" i="5" s="1"/>
  <c r="Q245" i="5"/>
  <c r="S245" i="5" s="1"/>
  <c r="T245" i="5" s="1"/>
  <c r="S242" i="5"/>
  <c r="T242" i="5" s="1"/>
  <c r="Q234" i="5"/>
  <c r="S234" i="5" s="1"/>
  <c r="T234" i="5" s="1"/>
  <c r="R122" i="5"/>
  <c r="Q117" i="5"/>
  <c r="R116" i="5"/>
  <c r="Q111" i="5"/>
  <c r="S111" i="5" s="1"/>
  <c r="T111" i="5" s="1"/>
  <c r="S97" i="5"/>
  <c r="T97" i="5" s="1"/>
  <c r="Q90" i="5"/>
  <c r="S90" i="5" s="1"/>
  <c r="T90" i="5" s="1"/>
  <c r="Q60" i="5"/>
  <c r="S60" i="5" s="1"/>
  <c r="T60" i="5" s="1"/>
  <c r="Q28" i="5"/>
  <c r="O95" i="4"/>
  <c r="Q92" i="4"/>
  <c r="Q91" i="4" s="1"/>
  <c r="Q90" i="4" s="1"/>
  <c r="O89" i="4"/>
  <c r="Q86" i="4"/>
  <c r="Q75" i="4"/>
  <c r="P72" i="4"/>
  <c r="Q71" i="4"/>
  <c r="P67" i="4"/>
  <c r="D75" i="29"/>
  <c r="D74" i="29" s="1"/>
  <c r="P58" i="4"/>
  <c r="D68" i="29"/>
  <c r="D67" i="29" s="1"/>
  <c r="D59" i="29"/>
  <c r="L59" i="29" s="1"/>
  <c r="B132" i="31" l="1"/>
  <c r="I25" i="32" s="1"/>
  <c r="I133" i="38"/>
  <c r="P59" i="4"/>
  <c r="R59" i="4" s="1"/>
  <c r="S59" i="4" s="1"/>
  <c r="P57" i="4"/>
  <c r="B42" i="29"/>
  <c r="P71" i="4"/>
  <c r="P66" i="4"/>
  <c r="B75" i="29" s="1"/>
  <c r="B90" i="38" s="1"/>
  <c r="R68" i="4"/>
  <c r="S68" i="4" s="1"/>
  <c r="S28" i="5"/>
  <c r="T28" i="5" s="1"/>
  <c r="Q8" i="5"/>
  <c r="O94" i="4"/>
  <c r="P93" i="4" s="1"/>
  <c r="P94" i="4" s="1"/>
  <c r="R94" i="4" s="1"/>
  <c r="S94" i="4" s="1"/>
  <c r="O88" i="4"/>
  <c r="P88" i="4" s="1"/>
  <c r="S288" i="5"/>
  <c r="T288" i="5" s="1"/>
  <c r="D37" i="31"/>
  <c r="L11" i="31" s="1"/>
  <c r="N11" i="31" s="1"/>
  <c r="D62" i="31"/>
  <c r="S252" i="5"/>
  <c r="T252" i="5" s="1"/>
  <c r="Q264" i="5"/>
  <c r="S249" i="5"/>
  <c r="T249" i="5" s="1"/>
  <c r="D134" i="31"/>
  <c r="D121" i="31"/>
  <c r="D119" i="31" s="1"/>
  <c r="B119" i="31"/>
  <c r="R121" i="5"/>
  <c r="R7" i="5"/>
  <c r="Q70" i="4"/>
  <c r="Q7" i="4"/>
  <c r="D58" i="29"/>
  <c r="F42" i="29"/>
  <c r="G42" i="29" s="1"/>
  <c r="S257" i="5"/>
  <c r="T257" i="5" s="1"/>
  <c r="Q230" i="5"/>
  <c r="S39" i="5"/>
  <c r="T39" i="5" s="1"/>
  <c r="S9" i="5"/>
  <c r="T9" i="5" s="1"/>
  <c r="S123" i="5"/>
  <c r="T123" i="5" s="1"/>
  <c r="Q63" i="5"/>
  <c r="S63" i="5" s="1"/>
  <c r="T63" i="5" s="1"/>
  <c r="Q49" i="5"/>
  <c r="S49" i="5" s="1"/>
  <c r="T49" i="5" s="1"/>
  <c r="Q93" i="5"/>
  <c r="S93" i="5" s="1"/>
  <c r="T93" i="5" s="1"/>
  <c r="Q237" i="5"/>
  <c r="S237" i="5" s="1"/>
  <c r="T237" i="5" s="1"/>
  <c r="S107" i="5"/>
  <c r="T107" i="5" s="1"/>
  <c r="Q207" i="5"/>
  <c r="Q206" i="5" s="1"/>
  <c r="Q54" i="5"/>
  <c r="S54" i="5" s="1"/>
  <c r="T54" i="5" s="1"/>
  <c r="Q322" i="5"/>
  <c r="Q32" i="5"/>
  <c r="S132" i="5"/>
  <c r="S51" i="4"/>
  <c r="B25" i="29"/>
  <c r="R61" i="4"/>
  <c r="S61" i="4" s="1"/>
  <c r="Q116" i="5"/>
  <c r="S117" i="5"/>
  <c r="T117" i="5" s="1"/>
  <c r="R67" i="4"/>
  <c r="S67" i="4" s="1"/>
  <c r="R72" i="4"/>
  <c r="S72" i="4" s="1"/>
  <c r="R58" i="4"/>
  <c r="S58" i="4" s="1"/>
  <c r="R85" i="4"/>
  <c r="Q31" i="5" l="1"/>
  <c r="M133" i="38"/>
  <c r="I131" i="38"/>
  <c r="R88" i="4"/>
  <c r="S88" i="4" s="1"/>
  <c r="P87" i="4"/>
  <c r="P86" i="4" s="1"/>
  <c r="R86" i="4" s="1"/>
  <c r="S86" i="4" s="1"/>
  <c r="I24" i="32"/>
  <c r="J94" i="31"/>
  <c r="Q217" i="5"/>
  <c r="B82" i="31" s="1"/>
  <c r="I81" i="38" s="1"/>
  <c r="S32" i="5"/>
  <c r="T32" i="5" s="1"/>
  <c r="B74" i="29"/>
  <c r="B20" i="32" s="1"/>
  <c r="J70" i="29"/>
  <c r="K56" i="29"/>
  <c r="B82" i="29"/>
  <c r="B97" i="38" s="1"/>
  <c r="P92" i="4"/>
  <c r="R93" i="4"/>
  <c r="S93" i="4" s="1"/>
  <c r="S206" i="5"/>
  <c r="T206" i="5" s="1"/>
  <c r="B75" i="31"/>
  <c r="I74" i="38" s="1"/>
  <c r="S264" i="5"/>
  <c r="T264" i="5" s="1"/>
  <c r="Q263" i="5"/>
  <c r="S230" i="5"/>
  <c r="T230" i="5" s="1"/>
  <c r="D132" i="31"/>
  <c r="K25" i="32" s="1"/>
  <c r="F121" i="31"/>
  <c r="F119" i="31" s="1"/>
  <c r="G119" i="31" s="1"/>
  <c r="S116" i="5"/>
  <c r="T116" i="5" s="1"/>
  <c r="B62" i="31"/>
  <c r="I61" i="38" s="1"/>
  <c r="F134" i="31"/>
  <c r="G134" i="31" s="1"/>
  <c r="K24" i="32"/>
  <c r="R6" i="5"/>
  <c r="R5" i="5" s="1"/>
  <c r="V6" i="5" s="1"/>
  <c r="Q6" i="4"/>
  <c r="Q5" i="4" s="1"/>
  <c r="R76" i="4"/>
  <c r="S76" i="4" s="1"/>
  <c r="F75" i="29"/>
  <c r="F82" i="29"/>
  <c r="K12" i="29"/>
  <c r="K23" i="29" s="1"/>
  <c r="D20" i="32"/>
  <c r="F25" i="29"/>
  <c r="G25" i="29" s="1"/>
  <c r="D19" i="32"/>
  <c r="S323" i="5"/>
  <c r="T323" i="5" s="1"/>
  <c r="Q122" i="5"/>
  <c r="S134" i="5"/>
  <c r="T134" i="5" s="1"/>
  <c r="S10" i="5"/>
  <c r="T10" i="5" s="1"/>
  <c r="S207" i="5"/>
  <c r="B68" i="29"/>
  <c r="B83" i="38" s="1"/>
  <c r="Q321" i="5"/>
  <c r="S322" i="5"/>
  <c r="T322" i="5" s="1"/>
  <c r="S218" i="5"/>
  <c r="T218" i="5" s="1"/>
  <c r="R66" i="4"/>
  <c r="S66" i="4" s="1"/>
  <c r="P91" i="4"/>
  <c r="R92" i="4"/>
  <c r="S92" i="4" s="1"/>
  <c r="R71" i="4"/>
  <c r="S71" i="4" s="1"/>
  <c r="P75" i="4"/>
  <c r="R75" i="4" s="1"/>
  <c r="S75" i="4" s="1"/>
  <c r="F97" i="38" l="1"/>
  <c r="B96" i="38"/>
  <c r="M61" i="38"/>
  <c r="M74" i="38"/>
  <c r="N133" i="38"/>
  <c r="M131" i="38"/>
  <c r="N131" i="38" s="1"/>
  <c r="B11" i="29"/>
  <c r="O12" i="29" s="1"/>
  <c r="B81" i="29"/>
  <c r="B22" i="32" s="1"/>
  <c r="F22" i="32" s="1"/>
  <c r="G22" i="32" s="1"/>
  <c r="R87" i="4"/>
  <c r="S87" i="4" s="1"/>
  <c r="B81" i="31"/>
  <c r="I19" i="32" s="1"/>
  <c r="M19" i="32" s="1"/>
  <c r="N19" i="32" s="1"/>
  <c r="B67" i="29"/>
  <c r="B19" i="32" s="1"/>
  <c r="F19" i="32" s="1"/>
  <c r="G19" i="32" s="1"/>
  <c r="B89" i="38"/>
  <c r="F90" i="38"/>
  <c r="G90" i="38" s="1"/>
  <c r="S263" i="5"/>
  <c r="T263" i="5" s="1"/>
  <c r="B94" i="31"/>
  <c r="I93" i="38" s="1"/>
  <c r="Q205" i="5"/>
  <c r="S205" i="5" s="1"/>
  <c r="T205" i="5" s="1"/>
  <c r="S217" i="5"/>
  <c r="T217" i="5" s="1"/>
  <c r="D73" i="31"/>
  <c r="S268" i="5"/>
  <c r="T268" i="5" s="1"/>
  <c r="K17" i="32"/>
  <c r="F82" i="31"/>
  <c r="F75" i="31"/>
  <c r="B50" i="31"/>
  <c r="F50" i="31" s="1"/>
  <c r="G50" i="31" s="1"/>
  <c r="B24" i="31"/>
  <c r="S321" i="5"/>
  <c r="T321" i="5" s="1"/>
  <c r="Q133" i="5"/>
  <c r="W11" i="5" s="1"/>
  <c r="M24" i="32"/>
  <c r="N24" i="32" s="1"/>
  <c r="S122" i="5"/>
  <c r="T122" i="5" s="1"/>
  <c r="S31" i="5"/>
  <c r="T31" i="5" s="1"/>
  <c r="F62" i="31"/>
  <c r="G121" i="31"/>
  <c r="F20" i="32"/>
  <c r="G20" i="32" s="1"/>
  <c r="R57" i="4"/>
  <c r="S57" i="4" s="1"/>
  <c r="G82" i="29"/>
  <c r="F81" i="29"/>
  <c r="G81" i="29" s="1"/>
  <c r="F68" i="29"/>
  <c r="F67" i="29" s="1"/>
  <c r="D57" i="29"/>
  <c r="D7" i="29" s="1"/>
  <c r="D18" i="32"/>
  <c r="G75" i="29"/>
  <c r="F74" i="29"/>
  <c r="G74" i="29" s="1"/>
  <c r="R9" i="4"/>
  <c r="S9" i="4" s="1"/>
  <c r="P70" i="4"/>
  <c r="R70" i="4" s="1"/>
  <c r="S70" i="4" s="1"/>
  <c r="R91" i="4"/>
  <c r="S91" i="4" s="1"/>
  <c r="P90" i="4"/>
  <c r="R90" i="4" s="1"/>
  <c r="S90" i="4" s="1"/>
  <c r="G97" i="38" l="1"/>
  <c r="F96" i="38"/>
  <c r="G96" i="38" s="1"/>
  <c r="I92" i="38"/>
  <c r="M93" i="38"/>
  <c r="N74" i="38"/>
  <c r="N61" i="38"/>
  <c r="B10" i="38"/>
  <c r="F10" i="38" s="1"/>
  <c r="G10" i="38" s="1"/>
  <c r="F11" i="29"/>
  <c r="G11" i="29" s="1"/>
  <c r="M81" i="38"/>
  <c r="I80" i="38"/>
  <c r="I23" i="38"/>
  <c r="M23" i="38" s="1"/>
  <c r="N23" i="38" s="1"/>
  <c r="F83" i="38"/>
  <c r="G83" i="38" s="1"/>
  <c r="B82" i="38"/>
  <c r="F82" i="38" s="1"/>
  <c r="G82" i="38" s="1"/>
  <c r="F89" i="38"/>
  <c r="G89" i="38" s="1"/>
  <c r="F24" i="31"/>
  <c r="G24" i="31" s="1"/>
  <c r="F94" i="31"/>
  <c r="B93" i="31"/>
  <c r="G75" i="31"/>
  <c r="E36" i="29"/>
  <c r="E38" i="29"/>
  <c r="E39" i="29"/>
  <c r="E35" i="29"/>
  <c r="E37" i="29"/>
  <c r="E88" i="29"/>
  <c r="E90" i="29"/>
  <c r="E87" i="29"/>
  <c r="G82" i="31"/>
  <c r="F101" i="31"/>
  <c r="E89" i="29"/>
  <c r="E58" i="29"/>
  <c r="S8" i="5"/>
  <c r="T8" i="5" s="1"/>
  <c r="Q7" i="5"/>
  <c r="B11" i="31"/>
  <c r="S133" i="5"/>
  <c r="T133" i="5" s="1"/>
  <c r="B37" i="31"/>
  <c r="I36" i="38" s="1"/>
  <c r="Q121" i="5"/>
  <c r="S121" i="5" s="1"/>
  <c r="T121" i="5" s="1"/>
  <c r="G62" i="31"/>
  <c r="G68" i="29"/>
  <c r="G67" i="29"/>
  <c r="D17" i="32"/>
  <c r="D6" i="32" s="1"/>
  <c r="E57" i="29"/>
  <c r="E46" i="29"/>
  <c r="E8" i="29"/>
  <c r="E79" i="29"/>
  <c r="E16" i="29"/>
  <c r="E77" i="29"/>
  <c r="E48" i="29"/>
  <c r="E26" i="29"/>
  <c r="E20" i="29"/>
  <c r="E86" i="29"/>
  <c r="E64" i="29"/>
  <c r="E53" i="29"/>
  <c r="E49" i="29"/>
  <c r="E34" i="29"/>
  <c r="E62" i="29"/>
  <c r="E12" i="29"/>
  <c r="E63" i="29"/>
  <c r="E28" i="29"/>
  <c r="E40" i="29"/>
  <c r="E85" i="29"/>
  <c r="E69" i="29"/>
  <c r="E55" i="29"/>
  <c r="E41" i="29"/>
  <c r="E15" i="29"/>
  <c r="E47" i="29"/>
  <c r="E25" i="29"/>
  <c r="E82" i="29"/>
  <c r="E71" i="29"/>
  <c r="E32" i="29"/>
  <c r="E42" i="29"/>
  <c r="E24" i="29"/>
  <c r="E19" i="29"/>
  <c r="E31" i="29"/>
  <c r="E11" i="29"/>
  <c r="E52" i="29"/>
  <c r="E29" i="29"/>
  <c r="E22" i="29"/>
  <c r="E66" i="29"/>
  <c r="E33" i="29"/>
  <c r="E81" i="29"/>
  <c r="E43" i="29"/>
  <c r="E84" i="29"/>
  <c r="E56" i="29"/>
  <c r="E9" i="29"/>
  <c r="E65" i="29"/>
  <c r="E21" i="29"/>
  <c r="E45" i="29"/>
  <c r="E23" i="29"/>
  <c r="E60" i="29"/>
  <c r="E54" i="29"/>
  <c r="E13" i="29"/>
  <c r="E51" i="29"/>
  <c r="E27" i="29"/>
  <c r="E70" i="29"/>
  <c r="E80" i="29"/>
  <c r="E14" i="29"/>
  <c r="E18" i="29"/>
  <c r="E83" i="29"/>
  <c r="E17" i="29"/>
  <c r="E73" i="29"/>
  <c r="E78" i="29"/>
  <c r="E50" i="29"/>
  <c r="E44" i="29"/>
  <c r="E72" i="29"/>
  <c r="E61" i="29"/>
  <c r="E30" i="29"/>
  <c r="E10" i="29"/>
  <c r="E68" i="29"/>
  <c r="E75" i="29"/>
  <c r="E74" i="29"/>
  <c r="E59" i="29"/>
  <c r="E67" i="29"/>
  <c r="P7" i="4"/>
  <c r="B59" i="29"/>
  <c r="B74" i="38" s="1"/>
  <c r="Q10" i="38" s="1"/>
  <c r="S10" i="38" s="1"/>
  <c r="R8" i="4"/>
  <c r="S8" i="4" s="1"/>
  <c r="N93" i="38" l="1"/>
  <c r="M92" i="38"/>
  <c r="N92" i="38" s="1"/>
  <c r="M36" i="38"/>
  <c r="N36" i="38" s="1"/>
  <c r="I34" i="38"/>
  <c r="M34" i="38" s="1"/>
  <c r="N34" i="38" s="1"/>
  <c r="F74" i="38"/>
  <c r="G74" i="38" s="1"/>
  <c r="B73" i="38"/>
  <c r="N81" i="38"/>
  <c r="M80" i="38"/>
  <c r="L24" i="29"/>
  <c r="R7" i="4"/>
  <c r="S7" i="4" s="1"/>
  <c r="P6" i="4"/>
  <c r="R6" i="4" s="1"/>
  <c r="S6" i="4" s="1"/>
  <c r="F11" i="31"/>
  <c r="G11" i="31" s="1"/>
  <c r="I10" i="38"/>
  <c r="B58" i="29"/>
  <c r="J59" i="29"/>
  <c r="I21" i="32"/>
  <c r="G94" i="31"/>
  <c r="F93" i="31"/>
  <c r="G93" i="31" s="1"/>
  <c r="E21" i="32"/>
  <c r="E22" i="32"/>
  <c r="E15" i="32"/>
  <c r="E14" i="32"/>
  <c r="F100" i="31"/>
  <c r="G100" i="31" s="1"/>
  <c r="G101" i="31"/>
  <c r="E18" i="32"/>
  <c r="M20" i="32"/>
  <c r="N20" i="32" s="1"/>
  <c r="K11" i="31"/>
  <c r="F37" i="31"/>
  <c r="Q6" i="5"/>
  <c r="S7" i="5"/>
  <c r="T7" i="5" s="1"/>
  <c r="E7" i="29"/>
  <c r="E17" i="32"/>
  <c r="E11" i="32"/>
  <c r="E12" i="32"/>
  <c r="E13" i="32"/>
  <c r="E8" i="32"/>
  <c r="E10" i="32"/>
  <c r="E7" i="32"/>
  <c r="E9" i="32"/>
  <c r="E20" i="32"/>
  <c r="E19" i="32"/>
  <c r="J12" i="29"/>
  <c r="L12" i="29" s="1"/>
  <c r="F59" i="29"/>
  <c r="F58" i="29" s="1"/>
  <c r="F73" i="38" l="1"/>
  <c r="G73" i="38" s="1"/>
  <c r="B72" i="38"/>
  <c r="F72" i="38" s="1"/>
  <c r="G72" i="38" s="1"/>
  <c r="N80" i="38"/>
  <c r="B57" i="29"/>
  <c r="D40" i="37" s="1"/>
  <c r="I56" i="29"/>
  <c r="V10" i="38"/>
  <c r="M10" i="38"/>
  <c r="N10" i="38" s="1"/>
  <c r="M21" i="32"/>
  <c r="N21" i="32" s="1"/>
  <c r="Q5" i="5"/>
  <c r="S6" i="5"/>
  <c r="T6" i="5" s="1"/>
  <c r="G37" i="31"/>
  <c r="P5" i="4"/>
  <c r="V14" i="4" s="1"/>
  <c r="E6" i="32"/>
  <c r="B18" i="32"/>
  <c r="B17" i="32" s="1"/>
  <c r="G59" i="29"/>
  <c r="G58" i="29"/>
  <c r="P324" i="3"/>
  <c r="P323" i="3" s="1"/>
  <c r="Q322" i="3" s="1"/>
  <c r="R321" i="3"/>
  <c r="R320" i="3" s="1"/>
  <c r="R319" i="3" s="1"/>
  <c r="X22" i="3"/>
  <c r="Q208" i="3"/>
  <c r="R207" i="3"/>
  <c r="X20" i="3" s="1"/>
  <c r="R195" i="3"/>
  <c r="X16" i="3" s="1"/>
  <c r="Q192" i="3"/>
  <c r="S192" i="3" s="1"/>
  <c r="T192" i="3" s="1"/>
  <c r="Q129" i="3"/>
  <c r="S129" i="3" s="1"/>
  <c r="T129" i="3" s="1"/>
  <c r="P127" i="3"/>
  <c r="S109" i="3"/>
  <c r="T109" i="3" s="1"/>
  <c r="S96" i="3"/>
  <c r="T96" i="3" s="1"/>
  <c r="X15" i="3"/>
  <c r="X14" i="3"/>
  <c r="O28" i="2"/>
  <c r="Q25" i="2"/>
  <c r="Q24" i="2" s="1"/>
  <c r="O21" i="2"/>
  <c r="P21" i="2" s="1"/>
  <c r="Q19" i="2"/>
  <c r="B24" i="29"/>
  <c r="B23" i="29" s="1"/>
  <c r="I24" i="29" s="1"/>
  <c r="Q12" i="2"/>
  <c r="P9" i="2"/>
  <c r="B41" i="29" s="1"/>
  <c r="B40" i="29" s="1"/>
  <c r="Q8" i="2"/>
  <c r="Q7" i="2" s="1"/>
  <c r="Q6" i="2" s="1"/>
  <c r="Q127" i="3" l="1"/>
  <c r="S127" i="3" s="1"/>
  <c r="T127" i="3" s="1"/>
  <c r="S5" i="5"/>
  <c r="T5" i="5" s="1"/>
  <c r="P20" i="2"/>
  <c r="P19" i="2" s="1"/>
  <c r="R19" i="2" s="1"/>
  <c r="S19" i="2" s="1"/>
  <c r="R21" i="2"/>
  <c r="S21" i="2" s="1"/>
  <c r="X18" i="3"/>
  <c r="Y18" i="3" s="1"/>
  <c r="D36" i="31"/>
  <c r="R5" i="4"/>
  <c r="S5" i="4" s="1"/>
  <c r="O27" i="2"/>
  <c r="P27" i="2" s="1"/>
  <c r="S99" i="3"/>
  <c r="T99" i="3" s="1"/>
  <c r="B49" i="31"/>
  <c r="B48" i="31" s="1"/>
  <c r="Q132" i="3"/>
  <c r="S132" i="3" s="1"/>
  <c r="T132" i="3" s="1"/>
  <c r="D61" i="31"/>
  <c r="D60" i="31" s="1"/>
  <c r="R12" i="31" s="1"/>
  <c r="S149" i="3"/>
  <c r="T149" i="3" s="1"/>
  <c r="S164" i="3"/>
  <c r="T164" i="3" s="1"/>
  <c r="D70" i="31"/>
  <c r="D69" i="31" s="1"/>
  <c r="Q202" i="3"/>
  <c r="R206" i="3"/>
  <c r="R7" i="3"/>
  <c r="B10" i="32"/>
  <c r="F10" i="32" s="1"/>
  <c r="G10" i="32" s="1"/>
  <c r="F24" i="29"/>
  <c r="F23" i="29" s="1"/>
  <c r="G23" i="29" s="1"/>
  <c r="F41" i="29"/>
  <c r="B13" i="32"/>
  <c r="F13" i="32" s="1"/>
  <c r="G13" i="32" s="1"/>
  <c r="Q23" i="2"/>
  <c r="Q5" i="2" s="1"/>
  <c r="F57" i="29"/>
  <c r="G57" i="29" s="1"/>
  <c r="F18" i="32"/>
  <c r="G18" i="32" s="1"/>
  <c r="Q118" i="3"/>
  <c r="S118" i="3" s="1"/>
  <c r="T118" i="3" s="1"/>
  <c r="Q9" i="3"/>
  <c r="S159" i="3"/>
  <c r="T159" i="3" s="1"/>
  <c r="S110" i="3"/>
  <c r="T110" i="3" s="1"/>
  <c r="Q126" i="3"/>
  <c r="S126" i="3" s="1"/>
  <c r="T126" i="3" s="1"/>
  <c r="S175" i="3"/>
  <c r="T175" i="3" s="1"/>
  <c r="Q83" i="3"/>
  <c r="S83" i="3" s="1"/>
  <c r="T83" i="3" s="1"/>
  <c r="S322" i="3"/>
  <c r="T322" i="3" s="1"/>
  <c r="T321" i="3" s="1"/>
  <c r="T320" i="3" s="1"/>
  <c r="T319" i="3" s="1"/>
  <c r="Q321" i="3"/>
  <c r="P8" i="2"/>
  <c r="R9" i="2"/>
  <c r="S9" i="2" s="1"/>
  <c r="R13" i="2"/>
  <c r="S13" i="2" s="1"/>
  <c r="P12" i="2"/>
  <c r="R12" i="2" s="1"/>
  <c r="S12" i="2" s="1"/>
  <c r="R27" i="2" l="1"/>
  <c r="S27" i="2" s="1"/>
  <c r="P26" i="2"/>
  <c r="X19" i="3"/>
  <c r="X25" i="3" s="1"/>
  <c r="R20" i="2"/>
  <c r="S20" i="2" s="1"/>
  <c r="B10" i="29"/>
  <c r="F10" i="29" s="1"/>
  <c r="F9" i="29" s="1"/>
  <c r="R6" i="3"/>
  <c r="R5" i="3" s="1"/>
  <c r="W7" i="3" s="1"/>
  <c r="K15" i="32"/>
  <c r="R13" i="31"/>
  <c r="L10" i="31"/>
  <c r="S313" i="3"/>
  <c r="T313" i="3" s="1"/>
  <c r="Q312" i="3"/>
  <c r="S202" i="3"/>
  <c r="T202" i="3" s="1"/>
  <c r="Q201" i="3"/>
  <c r="S9" i="3"/>
  <c r="T9" i="3" s="1"/>
  <c r="G69" i="3"/>
  <c r="P69" i="3" s="1"/>
  <c r="S154" i="3"/>
  <c r="T154" i="3" s="1"/>
  <c r="S168" i="3"/>
  <c r="T168" i="3" s="1"/>
  <c r="K14" i="32"/>
  <c r="K9" i="32"/>
  <c r="D35" i="31"/>
  <c r="P25" i="2"/>
  <c r="B56" i="29" s="1"/>
  <c r="R26" i="2"/>
  <c r="S26" i="2" s="1"/>
  <c r="G41" i="29"/>
  <c r="F40" i="29"/>
  <c r="G40" i="29" s="1"/>
  <c r="J11" i="29"/>
  <c r="F133" i="31"/>
  <c r="F132" i="31" s="1"/>
  <c r="G24" i="29"/>
  <c r="S135" i="3"/>
  <c r="T135" i="3" s="1"/>
  <c r="S215" i="3"/>
  <c r="T215" i="3" s="1"/>
  <c r="S208" i="3"/>
  <c r="T208" i="3" s="1"/>
  <c r="Q207" i="3"/>
  <c r="W20" i="3" s="1"/>
  <c r="Y20" i="3" s="1"/>
  <c r="S18" i="3"/>
  <c r="T18" i="3" s="1"/>
  <c r="F49" i="31"/>
  <c r="I11" i="32"/>
  <c r="M11" i="32" s="1"/>
  <c r="N11" i="32" s="1"/>
  <c r="S196" i="3"/>
  <c r="T196" i="3" s="1"/>
  <c r="F17" i="32"/>
  <c r="G17" i="32" s="1"/>
  <c r="Q320" i="3"/>
  <c r="Q319" i="3" s="1"/>
  <c r="S321" i="3"/>
  <c r="S320" i="3" s="1"/>
  <c r="S319" i="3" s="1"/>
  <c r="P7" i="2"/>
  <c r="P6" i="2" s="1"/>
  <c r="R8" i="2"/>
  <c r="S8" i="2" s="1"/>
  <c r="B55" i="29" l="1"/>
  <c r="B92" i="29" s="1"/>
  <c r="B55" i="38"/>
  <c r="F56" i="29"/>
  <c r="F55" i="29" s="1"/>
  <c r="B9" i="29"/>
  <c r="B7" i="28" s="1"/>
  <c r="J7" i="28" s="1"/>
  <c r="B9" i="38"/>
  <c r="L22" i="31"/>
  <c r="N10" i="31"/>
  <c r="K10" i="32"/>
  <c r="R15" i="31"/>
  <c r="S201" i="3"/>
  <c r="T201" i="3" s="1"/>
  <c r="W17" i="3"/>
  <c r="Y17" i="3" s="1"/>
  <c r="B72" i="31"/>
  <c r="I71" i="38" s="1"/>
  <c r="W22" i="3"/>
  <c r="Y22" i="3" s="1"/>
  <c r="R25" i="2"/>
  <c r="S25" i="2" s="1"/>
  <c r="P24" i="2"/>
  <c r="R24" i="2" s="1"/>
  <c r="S24" i="2" s="1"/>
  <c r="B10" i="28"/>
  <c r="F10" i="28" s="1"/>
  <c r="G10" i="28" s="1"/>
  <c r="B15" i="32"/>
  <c r="Q10" i="32" s="1"/>
  <c r="P12" i="32" s="1"/>
  <c r="J23" i="29"/>
  <c r="L11" i="29"/>
  <c r="Q311" i="3"/>
  <c r="S312" i="3"/>
  <c r="T312" i="3" s="1"/>
  <c r="B70" i="31"/>
  <c r="I69" i="38" s="1"/>
  <c r="P68" i="3"/>
  <c r="Q68" i="3" s="1"/>
  <c r="G73" i="3"/>
  <c r="F48" i="31"/>
  <c r="G48" i="31" s="1"/>
  <c r="G49" i="31"/>
  <c r="G133" i="31"/>
  <c r="M25" i="32"/>
  <c r="N25" i="32" s="1"/>
  <c r="Q195" i="3"/>
  <c r="W16" i="3" s="1"/>
  <c r="Y16" i="3" s="1"/>
  <c r="S207" i="3"/>
  <c r="T207" i="3" s="1"/>
  <c r="K8" i="32"/>
  <c r="D8" i="31"/>
  <c r="G10" i="29"/>
  <c r="P23" i="2"/>
  <c r="R23" i="2" s="1"/>
  <c r="S23" i="2" s="1"/>
  <c r="R7" i="2"/>
  <c r="S7" i="2" s="1"/>
  <c r="B8" i="29" l="1"/>
  <c r="B7" i="29" s="1"/>
  <c r="G56" i="29"/>
  <c r="B54" i="38"/>
  <c r="F55" i="38"/>
  <c r="I68" i="38"/>
  <c r="M68" i="38" s="1"/>
  <c r="N68" i="38" s="1"/>
  <c r="M69" i="38"/>
  <c r="N69" i="38" s="1"/>
  <c r="I70" i="38"/>
  <c r="M70" i="38" s="1"/>
  <c r="N70" i="38" s="1"/>
  <c r="M71" i="38"/>
  <c r="N71" i="38" s="1"/>
  <c r="F9" i="38"/>
  <c r="B8" i="38"/>
  <c r="B7" i="38" s="1"/>
  <c r="B6" i="38" s="1"/>
  <c r="Q9" i="38"/>
  <c r="N8" i="29"/>
  <c r="B8" i="32"/>
  <c r="B7" i="32" s="1"/>
  <c r="Q67" i="3"/>
  <c r="S68" i="3"/>
  <c r="T68" i="3" s="1"/>
  <c r="F15" i="32"/>
  <c r="G15" i="32" s="1"/>
  <c r="D59" i="37"/>
  <c r="D53" i="37" s="1"/>
  <c r="R16" i="31"/>
  <c r="B6" i="28"/>
  <c r="B71" i="31"/>
  <c r="B69" i="31"/>
  <c r="F72" i="31"/>
  <c r="G72" i="31" s="1"/>
  <c r="S311" i="3"/>
  <c r="T311" i="3" s="1"/>
  <c r="W23" i="3"/>
  <c r="B61" i="31"/>
  <c r="G55" i="29"/>
  <c r="F8" i="29"/>
  <c r="G8" i="29" s="1"/>
  <c r="C87" i="29"/>
  <c r="C85" i="29"/>
  <c r="C81" i="29"/>
  <c r="C90" i="29"/>
  <c r="C86" i="29"/>
  <c r="C82" i="29"/>
  <c r="F70" i="31"/>
  <c r="G70" i="31" s="1"/>
  <c r="G74" i="3"/>
  <c r="P73" i="3"/>
  <c r="P5" i="2"/>
  <c r="G132" i="31"/>
  <c r="B35" i="31"/>
  <c r="S214" i="3"/>
  <c r="T214" i="3" s="1"/>
  <c r="Q206" i="3"/>
  <c r="S206" i="3" s="1"/>
  <c r="T206" i="3" s="1"/>
  <c r="S195" i="3"/>
  <c r="T195" i="3" s="1"/>
  <c r="D7" i="31"/>
  <c r="K7" i="32"/>
  <c r="F7" i="28"/>
  <c r="G7" i="28" s="1"/>
  <c r="F8" i="32"/>
  <c r="G8" i="32" s="1"/>
  <c r="G9" i="29"/>
  <c r="R6" i="2"/>
  <c r="S6" i="2" s="1"/>
  <c r="C38" i="29" l="1"/>
  <c r="I84" i="29"/>
  <c r="C39" i="29"/>
  <c r="C37" i="29"/>
  <c r="F7" i="29"/>
  <c r="G7" i="29" s="1"/>
  <c r="C89" i="29"/>
  <c r="C36" i="29"/>
  <c r="D41" i="37"/>
  <c r="D39" i="37" s="1"/>
  <c r="C84" i="29"/>
  <c r="C88" i="29"/>
  <c r="C83" i="29"/>
  <c r="C35" i="29"/>
  <c r="G55" i="38"/>
  <c r="F54" i="38"/>
  <c r="G54" i="38" s="1"/>
  <c r="C105" i="38"/>
  <c r="C101" i="38"/>
  <c r="C99" i="38"/>
  <c r="C97" i="38"/>
  <c r="C102" i="38"/>
  <c r="C104" i="38"/>
  <c r="C98" i="38"/>
  <c r="C100" i="38"/>
  <c r="C103" i="38"/>
  <c r="C94" i="38"/>
  <c r="C96" i="38"/>
  <c r="C95" i="38"/>
  <c r="C7" i="38"/>
  <c r="P15" i="31"/>
  <c r="J27" i="31"/>
  <c r="M27" i="31" s="1"/>
  <c r="B60" i="31"/>
  <c r="K26" i="31" s="1"/>
  <c r="K29" i="31" s="1"/>
  <c r="I60" i="38"/>
  <c r="I15" i="32"/>
  <c r="M15" i="32" s="1"/>
  <c r="N15" i="32" s="1"/>
  <c r="L26" i="31"/>
  <c r="L29" i="31" s="1"/>
  <c r="R18" i="31"/>
  <c r="S15" i="31" s="1"/>
  <c r="R5" i="2"/>
  <c r="C9" i="28"/>
  <c r="F71" i="31"/>
  <c r="G71" i="31" s="1"/>
  <c r="J96" i="31"/>
  <c r="J97" i="31" s="1"/>
  <c r="Q21" i="38"/>
  <c r="S9" i="38"/>
  <c r="G9" i="38"/>
  <c r="F8" i="38"/>
  <c r="S67" i="3"/>
  <c r="T67" i="3" s="1"/>
  <c r="Q8" i="3"/>
  <c r="I16" i="32"/>
  <c r="F69" i="31"/>
  <c r="G69" i="31" s="1"/>
  <c r="P13" i="31"/>
  <c r="D49" i="37"/>
  <c r="P14" i="31"/>
  <c r="Y23" i="3"/>
  <c r="J46" i="38"/>
  <c r="C54" i="38"/>
  <c r="C42" i="38"/>
  <c r="C41" i="38"/>
  <c r="C39" i="38"/>
  <c r="C36" i="38"/>
  <c r="C33" i="38"/>
  <c r="C29" i="38"/>
  <c r="C26" i="38"/>
  <c r="C21" i="38"/>
  <c r="C17" i="38"/>
  <c r="C11" i="38"/>
  <c r="C75" i="38"/>
  <c r="C84" i="38"/>
  <c r="C89" i="38"/>
  <c r="C87" i="38"/>
  <c r="C85" i="38"/>
  <c r="C16" i="38"/>
  <c r="C52" i="38"/>
  <c r="C48" i="38"/>
  <c r="C44" i="38"/>
  <c r="C47" i="38"/>
  <c r="C37" i="38"/>
  <c r="C32" i="38"/>
  <c r="C27" i="38"/>
  <c r="C15" i="38"/>
  <c r="C79" i="38"/>
  <c r="C88" i="38"/>
  <c r="C76" i="38"/>
  <c r="C53" i="38"/>
  <c r="C49" i="38"/>
  <c r="C51" i="38"/>
  <c r="C31" i="38"/>
  <c r="C25" i="38"/>
  <c r="C13" i="38"/>
  <c r="F6" i="38"/>
  <c r="G6" i="38" s="1"/>
  <c r="C74" i="38"/>
  <c r="C14" i="38"/>
  <c r="C92" i="38"/>
  <c r="C55" i="38"/>
  <c r="C46" i="38"/>
  <c r="C45" i="38"/>
  <c r="C43" i="38"/>
  <c r="C38" i="38"/>
  <c r="C34" i="38"/>
  <c r="C30" i="38"/>
  <c r="C22" i="38"/>
  <c r="C24" i="38"/>
  <c r="C20" i="38"/>
  <c r="C12" i="38"/>
  <c r="C81" i="38"/>
  <c r="C73" i="38"/>
  <c r="C72" i="38"/>
  <c r="C6" i="38" s="1"/>
  <c r="C82" i="38"/>
  <c r="C90" i="38"/>
  <c r="C83" i="38"/>
  <c r="C28" i="38"/>
  <c r="C19" i="38"/>
  <c r="C10" i="38"/>
  <c r="C91" i="38"/>
  <c r="C80" i="38"/>
  <c r="C86" i="38"/>
  <c r="C50" i="38"/>
  <c r="C40" i="38"/>
  <c r="C35" i="38"/>
  <c r="C23" i="38"/>
  <c r="C18" i="38"/>
  <c r="C77" i="38"/>
  <c r="C78" i="38"/>
  <c r="C93" i="38"/>
  <c r="C9" i="38"/>
  <c r="C8" i="38"/>
  <c r="S5" i="2"/>
  <c r="E46" i="31"/>
  <c r="E68" i="31"/>
  <c r="E83" i="31"/>
  <c r="E118" i="31"/>
  <c r="E117" i="31"/>
  <c r="E99" i="31"/>
  <c r="E97" i="31"/>
  <c r="E93" i="31"/>
  <c r="E96" i="31"/>
  <c r="E98" i="31"/>
  <c r="E94" i="31"/>
  <c r="E100" i="31"/>
  <c r="E48" i="31"/>
  <c r="E109" i="31"/>
  <c r="E107" i="31"/>
  <c r="E108" i="31"/>
  <c r="E106" i="31"/>
  <c r="G76" i="3"/>
  <c r="P74" i="3"/>
  <c r="G75" i="3" s="1"/>
  <c r="P75" i="3" s="1"/>
  <c r="C7" i="28"/>
  <c r="F61" i="31"/>
  <c r="E78" i="31"/>
  <c r="E89" i="31"/>
  <c r="E66" i="31"/>
  <c r="E59" i="31"/>
  <c r="E102" i="31"/>
  <c r="E103" i="31"/>
  <c r="E114" i="31"/>
  <c r="E113" i="31"/>
  <c r="E115" i="31"/>
  <c r="E116" i="31"/>
  <c r="E112" i="31"/>
  <c r="E110" i="31"/>
  <c r="E111" i="31"/>
  <c r="C8" i="29"/>
  <c r="F36" i="31"/>
  <c r="F35" i="31" s="1"/>
  <c r="G35" i="31" s="1"/>
  <c r="K6" i="32"/>
  <c r="E22" i="31"/>
  <c r="E56" i="31"/>
  <c r="E119" i="31"/>
  <c r="E60" i="31"/>
  <c r="E53" i="31"/>
  <c r="E16" i="31"/>
  <c r="E70" i="31"/>
  <c r="E38" i="31"/>
  <c r="E62" i="31"/>
  <c r="E63" i="31"/>
  <c r="E18" i="31"/>
  <c r="E121" i="31"/>
  <c r="E136" i="31"/>
  <c r="E76" i="31"/>
  <c r="E42" i="31"/>
  <c r="E79" i="31"/>
  <c r="E131" i="31"/>
  <c r="E47" i="31"/>
  <c r="E26" i="31"/>
  <c r="E133" i="31"/>
  <c r="E44" i="31"/>
  <c r="E69" i="31"/>
  <c r="E127" i="31"/>
  <c r="E104" i="31"/>
  <c r="E81" i="31"/>
  <c r="E132" i="31"/>
  <c r="E45" i="31"/>
  <c r="E29" i="31"/>
  <c r="E88" i="31"/>
  <c r="E135" i="31"/>
  <c r="E58" i="31"/>
  <c r="E86" i="31"/>
  <c r="E123" i="31"/>
  <c r="E80" i="31"/>
  <c r="E72" i="31"/>
  <c r="E129" i="31"/>
  <c r="E71" i="31"/>
  <c r="E84" i="31"/>
  <c r="E32" i="31"/>
  <c r="E128" i="31"/>
  <c r="E137" i="31"/>
  <c r="E90" i="31"/>
  <c r="E17" i="31"/>
  <c r="E40" i="31"/>
  <c r="E57" i="31"/>
  <c r="E36" i="31"/>
  <c r="E51" i="31"/>
  <c r="E126" i="31"/>
  <c r="E21" i="31"/>
  <c r="E50" i="31"/>
  <c r="E34" i="31"/>
  <c r="E49" i="31"/>
  <c r="E25" i="31"/>
  <c r="E92" i="31"/>
  <c r="E122" i="31"/>
  <c r="E87" i="31"/>
  <c r="E73" i="31"/>
  <c r="E65" i="31"/>
  <c r="E52" i="31"/>
  <c r="E134" i="31"/>
  <c r="E91" i="31"/>
  <c r="E125" i="31"/>
  <c r="E28" i="31"/>
  <c r="E77" i="31"/>
  <c r="E105" i="31"/>
  <c r="E13" i="31"/>
  <c r="E82" i="31"/>
  <c r="E27" i="31"/>
  <c r="E14" i="31"/>
  <c r="E74" i="31"/>
  <c r="E64" i="31"/>
  <c r="E23" i="31"/>
  <c r="E67" i="31"/>
  <c r="E20" i="31"/>
  <c r="E55" i="31"/>
  <c r="E31" i="31"/>
  <c r="E41" i="31"/>
  <c r="E24" i="31"/>
  <c r="E37" i="31"/>
  <c r="E85" i="31"/>
  <c r="E130" i="31"/>
  <c r="E43" i="31"/>
  <c r="E61" i="31"/>
  <c r="E39" i="31"/>
  <c r="E19" i="31"/>
  <c r="E54" i="31"/>
  <c r="E12" i="31"/>
  <c r="E33" i="31"/>
  <c r="E101" i="31"/>
  <c r="E124" i="31"/>
  <c r="E30" i="31"/>
  <c r="E120" i="31"/>
  <c r="E11" i="31"/>
  <c r="E15" i="31"/>
  <c r="E35" i="31"/>
  <c r="E75" i="31"/>
  <c r="E10" i="31"/>
  <c r="E9" i="31"/>
  <c r="E8" i="31"/>
  <c r="I10" i="32"/>
  <c r="C47" i="29"/>
  <c r="C28" i="29"/>
  <c r="C15" i="29"/>
  <c r="C11" i="29"/>
  <c r="C80" i="29"/>
  <c r="C26" i="29"/>
  <c r="C12" i="29"/>
  <c r="C62" i="29"/>
  <c r="C70" i="29"/>
  <c r="C55" i="29"/>
  <c r="C92" i="29" s="1"/>
  <c r="C24" i="29"/>
  <c r="C51" i="29"/>
  <c r="C54" i="29"/>
  <c r="C42" i="29"/>
  <c r="C14" i="29"/>
  <c r="C61" i="29"/>
  <c r="C23" i="29"/>
  <c r="C58" i="29"/>
  <c r="C65" i="29"/>
  <c r="C43" i="29"/>
  <c r="C52" i="29"/>
  <c r="C21" i="29"/>
  <c r="C29" i="29"/>
  <c r="C60" i="29"/>
  <c r="C9" i="29"/>
  <c r="C34" i="29"/>
  <c r="C59" i="29"/>
  <c r="C57" i="29"/>
  <c r="C76" i="29"/>
  <c r="C40" i="29"/>
  <c r="C69" i="29"/>
  <c r="C63" i="29"/>
  <c r="C77" i="29"/>
  <c r="C18" i="29"/>
  <c r="C44" i="29"/>
  <c r="C67" i="29"/>
  <c r="C68" i="29"/>
  <c r="C73" i="29"/>
  <c r="C75" i="29"/>
  <c r="C33" i="29"/>
  <c r="C41" i="29"/>
  <c r="C78" i="29"/>
  <c r="C10" i="29"/>
  <c r="C64" i="29"/>
  <c r="C27" i="29"/>
  <c r="C30" i="29"/>
  <c r="C17" i="29"/>
  <c r="C74" i="29"/>
  <c r="C71" i="29"/>
  <c r="C72" i="29"/>
  <c r="C50" i="29"/>
  <c r="C66" i="29"/>
  <c r="C53" i="29"/>
  <c r="C32" i="29"/>
  <c r="C22" i="29"/>
  <c r="C25" i="29"/>
  <c r="C49" i="29"/>
  <c r="C46" i="29"/>
  <c r="C20" i="29"/>
  <c r="C31" i="29"/>
  <c r="C56" i="29"/>
  <c r="C16" i="29"/>
  <c r="E76" i="29"/>
  <c r="C79" i="29"/>
  <c r="C19" i="29"/>
  <c r="C45" i="29"/>
  <c r="C13" i="29"/>
  <c r="C48" i="29"/>
  <c r="C8" i="28"/>
  <c r="F6" i="28"/>
  <c r="G6" i="28" s="1"/>
  <c r="C10" i="28"/>
  <c r="F7" i="32"/>
  <c r="G7" i="32" s="1"/>
  <c r="B6" i="32"/>
  <c r="M16" i="32" l="1"/>
  <c r="N16" i="32" s="1"/>
  <c r="D69" i="37"/>
  <c r="I9" i="38"/>
  <c r="I8" i="38" s="1"/>
  <c r="P12" i="31"/>
  <c r="M60" i="38"/>
  <c r="I59" i="38"/>
  <c r="W14" i="3"/>
  <c r="W28" i="3" s="1"/>
  <c r="B10" i="31"/>
  <c r="B9" i="31" s="1"/>
  <c r="S8" i="3"/>
  <c r="T8" i="3" s="1"/>
  <c r="G8" i="38"/>
  <c r="F7" i="38"/>
  <c r="G7" i="38" s="1"/>
  <c r="J56" i="29"/>
  <c r="J24" i="29"/>
  <c r="L21" i="32"/>
  <c r="L23" i="32"/>
  <c r="C21" i="32"/>
  <c r="C22" i="32"/>
  <c r="C15" i="32"/>
  <c r="C14" i="32"/>
  <c r="F60" i="31"/>
  <c r="G60" i="31" s="1"/>
  <c r="G77" i="3"/>
  <c r="P77" i="3" s="1"/>
  <c r="P76" i="3"/>
  <c r="I14" i="32"/>
  <c r="G61" i="31"/>
  <c r="G36" i="31"/>
  <c r="L7" i="32"/>
  <c r="L22" i="32"/>
  <c r="C7" i="32"/>
  <c r="C7" i="29"/>
  <c r="C6" i="28"/>
  <c r="E7" i="31"/>
  <c r="L20" i="32"/>
  <c r="L10" i="32"/>
  <c r="L13" i="32"/>
  <c r="L16" i="32"/>
  <c r="L12" i="32"/>
  <c r="L9" i="32"/>
  <c r="L18" i="32"/>
  <c r="L25" i="32"/>
  <c r="L24" i="32"/>
  <c r="L14" i="32"/>
  <c r="L17" i="32"/>
  <c r="L19" i="32"/>
  <c r="L11" i="32"/>
  <c r="L15" i="32"/>
  <c r="L8" i="32"/>
  <c r="M10" i="32"/>
  <c r="N10" i="32" s="1"/>
  <c r="C11" i="32"/>
  <c r="C19" i="32"/>
  <c r="C9" i="32"/>
  <c r="C18" i="32"/>
  <c r="C17" i="32"/>
  <c r="F6" i="32"/>
  <c r="G6" i="32" s="1"/>
  <c r="C12" i="32"/>
  <c r="C10" i="32"/>
  <c r="C20" i="32"/>
  <c r="C13" i="32"/>
  <c r="C8" i="32"/>
  <c r="Y14" i="3" l="1"/>
  <c r="M9" i="38"/>
  <c r="N9" i="38" s="1"/>
  <c r="F10" i="31"/>
  <c r="F9" i="31" s="1"/>
  <c r="G9" i="31" s="1"/>
  <c r="N60" i="38"/>
  <c r="M59" i="38"/>
  <c r="N59" i="38" s="1"/>
  <c r="J25" i="31"/>
  <c r="P10" i="31"/>
  <c r="I8" i="32"/>
  <c r="M8" i="38"/>
  <c r="M14" i="32"/>
  <c r="N14" i="32" s="1"/>
  <c r="D64" i="37"/>
  <c r="D62" i="37" s="1"/>
  <c r="P72" i="3"/>
  <c r="Q72" i="3" s="1"/>
  <c r="L6" i="32"/>
  <c r="C6" i="32"/>
  <c r="G10" i="31" l="1"/>
  <c r="M8" i="32"/>
  <c r="N8" i="32" s="1"/>
  <c r="M25" i="31"/>
  <c r="Q71" i="3"/>
  <c r="S72" i="3"/>
  <c r="T72" i="3" s="1"/>
  <c r="N8" i="38"/>
  <c r="Q70" i="3" l="1"/>
  <c r="W37" i="3" s="1"/>
  <c r="W42" i="3" s="1"/>
  <c r="S71" i="3"/>
  <c r="T71" i="3" s="1"/>
  <c r="Q7" i="3" l="1"/>
  <c r="Q6" i="3" s="1"/>
  <c r="S70" i="3"/>
  <c r="T70" i="3" s="1"/>
  <c r="W15" i="3"/>
  <c r="W19" i="3" s="1"/>
  <c r="AB14" i="3" s="1"/>
  <c r="AB19" i="3" s="1"/>
  <c r="AB25" i="3" s="1"/>
  <c r="B23" i="31"/>
  <c r="K10" i="31"/>
  <c r="S7" i="3"/>
  <c r="T7" i="3" s="1"/>
  <c r="I22" i="38" l="1"/>
  <c r="F23" i="31"/>
  <c r="G23" i="31" s="1"/>
  <c r="W25" i="3"/>
  <c r="Y19" i="3"/>
  <c r="Y25" i="3" s="1"/>
  <c r="W29" i="3"/>
  <c r="W31" i="3" s="1"/>
  <c r="Y15" i="3"/>
  <c r="Q5" i="3"/>
  <c r="S6" i="3"/>
  <c r="T6" i="3" s="1"/>
  <c r="M22" i="38" l="1"/>
  <c r="N22" i="38" s="1"/>
  <c r="V9" i="38"/>
  <c r="V7" i="3"/>
  <c r="S5" i="3"/>
  <c r="T5" i="3" s="1"/>
  <c r="Q256" i="15" l="1"/>
  <c r="S256" i="15" s="1"/>
  <c r="T256" i="15" s="1"/>
  <c r="Q252" i="15" l="1"/>
  <c r="S252" i="15" s="1"/>
  <c r="T252" i="15" s="1"/>
  <c r="S263" i="15"/>
  <c r="T263" i="15" s="1"/>
  <c r="B76" i="31" l="1"/>
  <c r="Q251" i="15"/>
  <c r="Q6" i="15" s="1"/>
  <c r="Q5" i="15" s="1"/>
  <c r="K16" i="31"/>
  <c r="F87" i="31"/>
  <c r="S26" i="23"/>
  <c r="T26" i="23" s="1"/>
  <c r="B33" i="31"/>
  <c r="I32" i="38" l="1"/>
  <c r="B22" i="31"/>
  <c r="B74" i="31"/>
  <c r="I75" i="38"/>
  <c r="S5" i="15"/>
  <c r="T5" i="15" s="1"/>
  <c r="V6" i="15"/>
  <c r="F76" i="31"/>
  <c r="G76" i="31" s="1"/>
  <c r="V19" i="38"/>
  <c r="M32" i="38"/>
  <c r="I21" i="38"/>
  <c r="S251" i="15"/>
  <c r="T251" i="15" s="1"/>
  <c r="S6" i="15"/>
  <c r="T6" i="15" s="1"/>
  <c r="F74" i="31"/>
  <c r="G87" i="31"/>
  <c r="F81" i="31"/>
  <c r="G81" i="31" s="1"/>
  <c r="F33" i="31"/>
  <c r="K20" i="31"/>
  <c r="S25" i="23"/>
  <c r="T25" i="23" s="1"/>
  <c r="B73" i="31" l="1"/>
  <c r="J7" i="31"/>
  <c r="I18" i="32"/>
  <c r="D93" i="37" s="1"/>
  <c r="J26" i="31"/>
  <c r="M26" i="31" s="1"/>
  <c r="B8" i="31"/>
  <c r="M75" i="38"/>
  <c r="V15" i="38"/>
  <c r="V21" i="38" s="1"/>
  <c r="I73" i="38"/>
  <c r="I72" i="38" s="1"/>
  <c r="P11" i="31"/>
  <c r="P16" i="31" s="1"/>
  <c r="P20" i="31" s="1"/>
  <c r="I7" i="38"/>
  <c r="N32" i="38"/>
  <c r="M21" i="38"/>
  <c r="M18" i="32"/>
  <c r="N18" i="32" s="1"/>
  <c r="I17" i="32"/>
  <c r="M17" i="32" s="1"/>
  <c r="N17" i="32" s="1"/>
  <c r="G74" i="31"/>
  <c r="F73" i="31"/>
  <c r="G73" i="31" s="1"/>
  <c r="K22" i="31"/>
  <c r="G33" i="31"/>
  <c r="F22" i="31"/>
  <c r="S7" i="23"/>
  <c r="T7" i="23" s="1"/>
  <c r="I9" i="32"/>
  <c r="J29" i="31" l="1"/>
  <c r="M29" i="31" s="1"/>
  <c r="I6" i="38"/>
  <c r="N75" i="38"/>
  <c r="M73" i="38"/>
  <c r="N21" i="38"/>
  <c r="M7" i="38"/>
  <c r="N7" i="38" s="1"/>
  <c r="B7" i="31"/>
  <c r="S6" i="23"/>
  <c r="T6" i="23" s="1"/>
  <c r="Q5" i="23"/>
  <c r="I7" i="32"/>
  <c r="M9" i="32"/>
  <c r="N9" i="32" s="1"/>
  <c r="G22" i="31"/>
  <c r="F8" i="31"/>
  <c r="G8" i="31" s="1"/>
  <c r="C137" i="31" l="1"/>
  <c r="C133" i="31"/>
  <c r="J82" i="38"/>
  <c r="J94" i="38"/>
  <c r="J52" i="38"/>
  <c r="J79" i="38"/>
  <c r="J30" i="38"/>
  <c r="J78" i="38"/>
  <c r="J118" i="38"/>
  <c r="J89" i="38"/>
  <c r="J100" i="38"/>
  <c r="J45" i="38"/>
  <c r="T6" i="38"/>
  <c r="J116" i="38"/>
  <c r="J62" i="38"/>
  <c r="J128" i="38"/>
  <c r="J92" i="38"/>
  <c r="J73" i="38"/>
  <c r="J136" i="38"/>
  <c r="J35" i="38"/>
  <c r="J32" i="38"/>
  <c r="J99" i="38"/>
  <c r="J77" i="38"/>
  <c r="J28" i="38"/>
  <c r="J65" i="38"/>
  <c r="J16" i="38"/>
  <c r="J127" i="38"/>
  <c r="J90" i="38"/>
  <c r="J22" i="38"/>
  <c r="J120" i="38"/>
  <c r="J80" i="38"/>
  <c r="J135" i="38"/>
  <c r="J81" i="38"/>
  <c r="J130" i="38"/>
  <c r="J44" i="38"/>
  <c r="J93" i="38"/>
  <c r="J122" i="38"/>
  <c r="J134" i="38"/>
  <c r="J74" i="38"/>
  <c r="J119" i="38"/>
  <c r="J75" i="38"/>
  <c r="J87" i="38"/>
  <c r="J104" i="38"/>
  <c r="J14" i="38"/>
  <c r="J60" i="38"/>
  <c r="J47" i="38"/>
  <c r="J114" i="38"/>
  <c r="J27" i="38"/>
  <c r="J37" i="38"/>
  <c r="J110" i="38"/>
  <c r="J101" i="38"/>
  <c r="J111" i="38"/>
  <c r="J70" i="38"/>
  <c r="J23" i="38"/>
  <c r="J7" i="38"/>
  <c r="J21" i="38"/>
  <c r="J76" i="38"/>
  <c r="J57" i="38"/>
  <c r="J84" i="38"/>
  <c r="J12" i="38"/>
  <c r="J125" i="38"/>
  <c r="J64" i="38"/>
  <c r="J8" i="38"/>
  <c r="J129" i="38"/>
  <c r="J121" i="38"/>
  <c r="J38" i="38"/>
  <c r="J33" i="38"/>
  <c r="J25" i="38"/>
  <c r="J42" i="38"/>
  <c r="J72" i="38"/>
  <c r="J126" i="38"/>
  <c r="J10" i="38"/>
  <c r="J56" i="38"/>
  <c r="J66" i="38"/>
  <c r="J132" i="38"/>
  <c r="J19" i="38"/>
  <c r="J9" i="38"/>
  <c r="J39" i="38"/>
  <c r="J71" i="38"/>
  <c r="J59" i="38"/>
  <c r="J36" i="38"/>
  <c r="J123" i="38"/>
  <c r="J20" i="38"/>
  <c r="J34" i="38"/>
  <c r="J55" i="38"/>
  <c r="J88" i="38"/>
  <c r="J26" i="38"/>
  <c r="J43" i="38"/>
  <c r="J41" i="38"/>
  <c r="J54" i="38"/>
  <c r="J109" i="38"/>
  <c r="J69" i="38"/>
  <c r="J86" i="38"/>
  <c r="J124" i="38"/>
  <c r="J53" i="38"/>
  <c r="J106" i="38"/>
  <c r="J51" i="38"/>
  <c r="J50" i="38"/>
  <c r="J13" i="38"/>
  <c r="J58" i="38"/>
  <c r="J107" i="38"/>
  <c r="J68" i="38"/>
  <c r="J31" i="38"/>
  <c r="J102" i="38"/>
  <c r="J15" i="38"/>
  <c r="J48" i="38"/>
  <c r="J112" i="38"/>
  <c r="J113" i="38"/>
  <c r="M6" i="38"/>
  <c r="N6" i="38" s="1"/>
  <c r="J18" i="38"/>
  <c r="J67" i="38"/>
  <c r="J117" i="38"/>
  <c r="J131" i="38"/>
  <c r="J83" i="38"/>
  <c r="J63" i="38"/>
  <c r="J105" i="38"/>
  <c r="J103" i="38"/>
  <c r="J115" i="38"/>
  <c r="J29" i="38"/>
  <c r="J133" i="38"/>
  <c r="J40" i="38"/>
  <c r="J96" i="38"/>
  <c r="J97" i="38"/>
  <c r="J108" i="38"/>
  <c r="J98" i="38"/>
  <c r="J11" i="38"/>
  <c r="J17" i="38"/>
  <c r="J24" i="38"/>
  <c r="J61" i="38"/>
  <c r="J49" i="38"/>
  <c r="J85" i="38"/>
  <c r="J95" i="38"/>
  <c r="J91" i="38"/>
  <c r="N73" i="38"/>
  <c r="M72" i="38"/>
  <c r="N72" i="38" s="1"/>
  <c r="S5" i="23"/>
  <c r="T5" i="23" s="1"/>
  <c r="V6" i="23"/>
  <c r="C46" i="31"/>
  <c r="C68" i="31"/>
  <c r="C83" i="31"/>
  <c r="C118" i="31"/>
  <c r="C117" i="31"/>
  <c r="C98" i="31"/>
  <c r="C99" i="31"/>
  <c r="C97" i="31"/>
  <c r="C93" i="31"/>
  <c r="C94" i="31"/>
  <c r="C96" i="31"/>
  <c r="C8" i="31"/>
  <c r="C109" i="31"/>
  <c r="C107" i="31"/>
  <c r="C106" i="31"/>
  <c r="C108" i="31"/>
  <c r="D45" i="37"/>
  <c r="D44" i="37" s="1"/>
  <c r="I6" i="32"/>
  <c r="J23" i="32" s="1"/>
  <c r="M7" i="32"/>
  <c r="N7" i="32" s="1"/>
  <c r="C130" i="31"/>
  <c r="C120" i="31"/>
  <c r="C52" i="31"/>
  <c r="C40" i="31"/>
  <c r="C41" i="31"/>
  <c r="C54" i="31"/>
  <c r="C49" i="31"/>
  <c r="C76" i="31"/>
  <c r="C53" i="31"/>
  <c r="C36" i="31"/>
  <c r="C105" i="31"/>
  <c r="C17" i="31"/>
  <c r="C50" i="31"/>
  <c r="C59" i="31"/>
  <c r="C60" i="31"/>
  <c r="Q12" i="31" s="1"/>
  <c r="C34" i="31"/>
  <c r="C9" i="31"/>
  <c r="Q10" i="31" s="1"/>
  <c r="C124" i="31"/>
  <c r="C29" i="31"/>
  <c r="C43" i="31"/>
  <c r="C71" i="31"/>
  <c r="Q14" i="31" s="1"/>
  <c r="C84" i="31"/>
  <c r="C28" i="31"/>
  <c r="C100" i="31"/>
  <c r="C136" i="31"/>
  <c r="C125" i="31"/>
  <c r="C82" i="31"/>
  <c r="C16" i="31"/>
  <c r="C129" i="31"/>
  <c r="C119" i="31"/>
  <c r="C134" i="31"/>
  <c r="C78" i="31"/>
  <c r="C131" i="31"/>
  <c r="C24" i="31"/>
  <c r="C75" i="31"/>
  <c r="C11" i="31"/>
  <c r="C19" i="31"/>
  <c r="C23" i="31"/>
  <c r="F7" i="31"/>
  <c r="G7" i="31" s="1"/>
  <c r="C80" i="31"/>
  <c r="C135" i="31"/>
  <c r="C12" i="31"/>
  <c r="C65" i="31"/>
  <c r="C64" i="31"/>
  <c r="C88" i="31"/>
  <c r="C20" i="31"/>
  <c r="C91" i="31"/>
  <c r="C63" i="31"/>
  <c r="C122" i="31"/>
  <c r="C116" i="31"/>
  <c r="C103" i="31"/>
  <c r="C79" i="31"/>
  <c r="C25" i="31"/>
  <c r="C72" i="31"/>
  <c r="C128" i="31"/>
  <c r="C102" i="31"/>
  <c r="C74" i="31"/>
  <c r="C115" i="31"/>
  <c r="C113" i="31"/>
  <c r="C15" i="31"/>
  <c r="C18" i="31"/>
  <c r="C101" i="31"/>
  <c r="C57" i="31"/>
  <c r="C45" i="31"/>
  <c r="C56" i="31"/>
  <c r="C126" i="31"/>
  <c r="C127" i="31"/>
  <c r="C48" i="31"/>
  <c r="C132" i="31"/>
  <c r="C86" i="31"/>
  <c r="C44" i="31"/>
  <c r="C42" i="31"/>
  <c r="C21" i="31"/>
  <c r="C110" i="31"/>
  <c r="C14" i="31"/>
  <c r="C123" i="31"/>
  <c r="C89" i="31"/>
  <c r="C35" i="31"/>
  <c r="Q15" i="31" s="1"/>
  <c r="C55" i="31"/>
  <c r="C77" i="31"/>
  <c r="C111" i="31"/>
  <c r="C90" i="31"/>
  <c r="C73" i="31"/>
  <c r="C121" i="31"/>
  <c r="C26" i="31"/>
  <c r="C87" i="31"/>
  <c r="C30" i="31"/>
  <c r="C39" i="31"/>
  <c r="C70" i="31"/>
  <c r="C92" i="31"/>
  <c r="C37" i="31"/>
  <c r="C31" i="31"/>
  <c r="C67" i="31"/>
  <c r="C104" i="31"/>
  <c r="C66" i="31"/>
  <c r="C32" i="31"/>
  <c r="C85" i="31"/>
  <c r="C61" i="31"/>
  <c r="C114" i="31"/>
  <c r="C69" i="31"/>
  <c r="Q13" i="31" s="1"/>
  <c r="C13" i="31"/>
  <c r="C58" i="31"/>
  <c r="C38" i="31"/>
  <c r="C62" i="31"/>
  <c r="C81" i="31"/>
  <c r="C51" i="31"/>
  <c r="C10" i="31"/>
  <c r="C27" i="31"/>
  <c r="C112" i="31"/>
  <c r="C47" i="31"/>
  <c r="C33" i="31"/>
  <c r="C22" i="31"/>
  <c r="Q11" i="31" s="1"/>
  <c r="J6" i="38" l="1"/>
  <c r="J7" i="32"/>
  <c r="J21" i="32"/>
  <c r="C7" i="31"/>
  <c r="J22" i="32"/>
  <c r="J16" i="32"/>
  <c r="J18" i="32"/>
  <c r="J17" i="32"/>
  <c r="J8" i="32"/>
  <c r="J10" i="32"/>
  <c r="J13" i="32"/>
  <c r="M6" i="32"/>
  <c r="N6" i="32" s="1"/>
  <c r="J15" i="32"/>
  <c r="J11" i="32"/>
  <c r="J25" i="32"/>
  <c r="J12" i="32"/>
  <c r="J20" i="32"/>
  <c r="J19" i="32"/>
  <c r="J24" i="32"/>
  <c r="J14" i="32"/>
  <c r="J9" i="32"/>
  <c r="J6" i="3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5" authorId="0" shapeId="0" xr:uid="{00000000-0006-0000-0C00-000001000000}">
      <text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I5" authorId="0" shapeId="0" xr:uid="{00000000-0006-0000-0C00-000002000000}">
      <text>
        <r>
          <rPr>
            <sz val="9"/>
            <color rgb="FF000000"/>
            <rFont val="돋움"/>
            <family val="3"/>
            <charset val="129"/>
          </rPr>
          <t>인원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5" authorId="0" shapeId="0" xr:uid="{00000000-0006-0000-0F00-000001000000}">
      <text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00000000-0006-0000-0F00-000002000000}">
      <text>
        <r>
          <rPr>
            <sz val="9"/>
            <color indexed="81"/>
            <rFont val="돋움"/>
            <family val="3"/>
            <charset val="129"/>
          </rPr>
          <t>인원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00000000-0006-0000-0F00-000003000000}">
      <text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<sst xmlns="http://schemas.openxmlformats.org/spreadsheetml/2006/main" count="8209" uniqueCount="3199">
  <si>
    <t>[일반회계]</t>
  </si>
  <si>
    <t>(단위:천원)</t>
  </si>
  <si>
    <t>예산과목</t>
  </si>
  <si>
    <t>산출내역</t>
  </si>
  <si>
    <t>예산액</t>
  </si>
  <si>
    <t>증감</t>
  </si>
  <si>
    <t>증감률</t>
  </si>
  <si>
    <t>장</t>
  </si>
  <si>
    <t>관</t>
  </si>
  <si>
    <t>항</t>
  </si>
  <si>
    <t>목</t>
  </si>
  <si>
    <t>세목</t>
  </si>
  <si>
    <t>세세목</t>
  </si>
  <si>
    <t>고양시청소년재단사무국</t>
    <phoneticPr fontId="4" type="noConversion"/>
  </si>
  <si>
    <t>600 사업수익</t>
  </si>
  <si>
    <t>620 영업외수익</t>
  </si>
  <si>
    <t>625-2 지자체출자출연금</t>
  </si>
  <si>
    <t>621 이자수익</t>
  </si>
  <si>
    <t>621-1 예금이자수익</t>
  </si>
  <si>
    <t>ㅇ예금이자수익</t>
  </si>
  <si>
    <t>­ 예금이자</t>
  </si>
  <si>
    <t xml:space="preserve">× </t>
  </si>
  <si>
    <t>=</t>
  </si>
  <si>
    <t>623 보조금수익</t>
  </si>
  <si>
    <t>623-1 국도시비보조금</t>
  </si>
  <si>
    <t>625 출자출연금수익</t>
  </si>
  <si>
    <t>611 자체사업수익</t>
  </si>
  <si>
    <t>100 자본적수입</t>
  </si>
  <si>
    <t>170 자본잉여금수입</t>
  </si>
  <si>
    <t>172 이월금</t>
  </si>
  <si>
    <t>172-3 전년도이월사업비</t>
    <phoneticPr fontId="4" type="noConversion"/>
  </si>
  <si>
    <t>ㅇ전년도이월금</t>
  </si>
  <si>
    <t>=</t>
    <phoneticPr fontId="4" type="noConversion"/>
  </si>
  <si>
    <t>청소녀</t>
  </si>
  <si>
    <t>고양시청소년재단사무국</t>
    <phoneticPr fontId="5" type="noConversion"/>
  </si>
  <si>
    <t>700 사업비용</t>
  </si>
  <si>
    <t>710 영업비용</t>
  </si>
  <si>
    <t>100 인건비</t>
  </si>
  <si>
    <t>ㅇ기본급</t>
  </si>
  <si>
    <t>102 제수당</t>
    <phoneticPr fontId="4" type="noConversion"/>
  </si>
  <si>
    <t>ㅇ가족수당</t>
  </si>
  <si>
    <t>ㅇ급량비</t>
  </si>
  <si>
    <t>- 정액급식비</t>
  </si>
  <si>
    <t>ㅇ자격수당</t>
  </si>
  <si>
    <t>- 청소년지도사</t>
  </si>
  <si>
    <t>ㅇ시간외/당직근무수당</t>
  </si>
  <si>
    <t xml:space="preserve"> - 시간외및당직근무수당</t>
  </si>
  <si>
    <t>ㅇ정근수당</t>
  </si>
  <si>
    <t>ㅇ명절휴가비</t>
  </si>
  <si>
    <t>ㅇ연가보상비</t>
  </si>
  <si>
    <t>- 연가보상비</t>
  </si>
  <si>
    <t xml:space="preserve">× </t>
    <phoneticPr fontId="4" type="noConversion"/>
  </si>
  <si>
    <t>ㅇ퇴직급여충당금</t>
  </si>
  <si>
    <t>­ 퇴직급여충당금</t>
  </si>
  <si>
    <t>200 경비</t>
  </si>
  <si>
    <t>201 복리후생비</t>
    <phoneticPr fontId="4" type="noConversion"/>
  </si>
  <si>
    <t>ㅇ사회4대보험</t>
  </si>
  <si>
    <t>­ 국민연금부담금</t>
  </si>
  <si>
    <t>­ 국민건강보험부담금</t>
  </si>
  <si>
    <t>­ 장기요양보험부담금</t>
  </si>
  <si>
    <t>­ 고용보험부담금</t>
  </si>
  <si>
    <t>­ 산재보험부담금</t>
  </si>
  <si>
    <t>­ 특근매식비</t>
    <phoneticPr fontId="5" type="noConversion"/>
  </si>
  <si>
    <t>ㅇ직원복지제도</t>
  </si>
  <si>
    <t>­ 종합건강검진</t>
  </si>
  <si>
    <t>­ 선택적복지제도</t>
  </si>
  <si>
    <t>ㅇ여비</t>
  </si>
  <si>
    <t>­ 국내여비</t>
  </si>
  <si>
    <t>­ 국외여비</t>
  </si>
  <si>
    <t>ㅇ발송비</t>
  </si>
  <si>
    <t>­ 우편물,택배 발송비</t>
  </si>
  <si>
    <t>ㅇ통신비</t>
  </si>
  <si>
    <t>­ 전화 인터넷 사용료</t>
  </si>
  <si>
    <t>ㅇ기타공공요금</t>
  </si>
  <si>
    <t>­ 법인세 등 제세</t>
  </si>
  <si>
    <t>ㅇ수도광열비</t>
  </si>
  <si>
    <t>206 소모품비</t>
    <phoneticPr fontId="4" type="noConversion"/>
  </si>
  <si>
    <t>ㅇ사무용품비</t>
  </si>
  <si>
    <t>­ 사무용품</t>
  </si>
  <si>
    <t>­ 복사용지</t>
  </si>
  <si>
    <t>ㅇ전산소모품비</t>
  </si>
  <si>
    <t>ㅇ청소용품비</t>
  </si>
  <si>
    <t>­청소용소모품비</t>
  </si>
  <si>
    <t>ㅇ소모성비품구입</t>
  </si>
  <si>
    <t>­냉온수기용 물</t>
  </si>
  <si>
    <t>ㅇ피복비</t>
  </si>
  <si>
    <t>ㅇ구독료</t>
  </si>
  <si>
    <t>­ 신문구독</t>
  </si>
  <si>
    <t>ㅇ도서인쇄비</t>
  </si>
  <si>
    <t>­ 예결산서</t>
  </si>
  <si>
    <t>­ 규정집</t>
  </si>
  <si>
    <t>­ 업무수첩</t>
  </si>
  <si>
    <t>­ 사원증 및 명함</t>
  </si>
  <si>
    <t>ㅇ지급임차료</t>
  </si>
  <si>
    <t>ㅇ수선유지비</t>
  </si>
  <si>
    <t>ㅇ차량유지비</t>
  </si>
  <si>
    <t>­ 주유비 및 수리</t>
  </si>
  <si>
    <t>ㅇ보험료</t>
  </si>
  <si>
    <t>­ 회계보증보험</t>
  </si>
  <si>
    <t>ㅇ자문료</t>
  </si>
  <si>
    <t>ㅇ수수료 등</t>
  </si>
  <si>
    <t>­ 무인경비용역수수료</t>
  </si>
  <si>
    <t>­ 퇴직연금운영수수료</t>
  </si>
  <si>
    <t>­ 나라장터</t>
  </si>
  <si>
    <t>ㅇ 기관운영업무추진비</t>
  </si>
  <si>
    <t>ㅇ 시책추진업무추진비</t>
  </si>
  <si>
    <t>ㅇ 부서운영업무추진비</t>
  </si>
  <si>
    <t>ㅇ 정원가산업무추진비</t>
  </si>
  <si>
    <t>­ 정원가산업무추진비</t>
    <phoneticPr fontId="4" type="noConversion"/>
  </si>
  <si>
    <t>ㅇ재료비기타</t>
  </si>
  <si>
    <t>­ 시설공구구입</t>
  </si>
  <si>
    <t>­ 안전재료구입</t>
  </si>
  <si>
    <t>ㅇ홍보물 제작</t>
  </si>
  <si>
    <t>ㅇ 이사회</t>
  </si>
  <si>
    <t>ㅇ 운영위원회</t>
  </si>
  <si>
    <t>405 자산취득비</t>
    <phoneticPr fontId="5" type="noConversion"/>
  </si>
  <si>
    <t>­ 사무용 비품 및 자산취득물품 등</t>
    <phoneticPr fontId="5" type="noConversion"/>
  </si>
  <si>
    <t xml:space="preserve">  · 노트북</t>
    <phoneticPr fontId="4" type="noConversion"/>
  </si>
  <si>
    <t>713 성과급</t>
    <phoneticPr fontId="5" type="noConversion"/>
  </si>
  <si>
    <t>720 청소년사업비</t>
  </si>
  <si>
    <t>721 보조금사업비</t>
  </si>
  <si>
    <t>722 목적사업비</t>
  </si>
  <si>
    <t>=</t>
    <phoneticPr fontId="4" type="noConversion"/>
  </si>
  <si>
    <t>­ 인건비</t>
    <phoneticPr fontId="4" type="noConversion"/>
  </si>
  <si>
    <t>=</t>
    <phoneticPr fontId="4" type="noConversion"/>
  </si>
  <si>
    <t xml:space="preserve">× </t>
    <phoneticPr fontId="4" type="noConversion"/>
  </si>
  <si>
    <t>­ 운영비</t>
    <phoneticPr fontId="4" type="noConversion"/>
  </si>
  <si>
    <t>770 영업외비용</t>
    <phoneticPr fontId="4" type="noConversion"/>
  </si>
  <si>
    <t>775 기타영업외비용</t>
    <phoneticPr fontId="4" type="noConversion"/>
  </si>
  <si>
    <t>=</t>
    <phoneticPr fontId="4" type="noConversion"/>
  </si>
  <si>
    <t>800 예비비</t>
    <phoneticPr fontId="5" type="noConversion"/>
  </si>
  <si>
    <t>810 예비비</t>
    <phoneticPr fontId="5" type="noConversion"/>
  </si>
  <si>
    <t>200 자본적지출</t>
    <phoneticPr fontId="5" type="noConversion"/>
  </si>
  <si>
    <t>290 기타자본적지출</t>
    <phoneticPr fontId="5" type="noConversion"/>
  </si>
  <si>
    <t>291 기본재산 적립</t>
    <phoneticPr fontId="5" type="noConversion"/>
  </si>
  <si>
    <t>291-01 기본재산 적립</t>
    <phoneticPr fontId="5" type="noConversion"/>
  </si>
  <si>
    <t>ㅇ자본금</t>
    <phoneticPr fontId="5" type="noConversion"/>
  </si>
  <si>
    <t>­ 자본금</t>
    <phoneticPr fontId="5" type="noConversion"/>
  </si>
  <si>
    <t>[일반회계]</t>
    <phoneticPr fontId="4" type="noConversion"/>
  </si>
  <si>
    <t>(단위:천원)</t>
    <phoneticPr fontId="4" type="noConversion"/>
  </si>
  <si>
    <t>예산과목</t>
    <phoneticPr fontId="4" type="noConversion"/>
  </si>
  <si>
    <t>산출내역</t>
    <phoneticPr fontId="4" type="noConversion"/>
  </si>
  <si>
    <t>장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</si>
  <si>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</si>
  <si>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</si>
  <si>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</si>
  <si>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세목</t>
    <phoneticPr fontId="4" type="noConversion"/>
  </si>
  <si>
    <t>세세목</t>
    <phoneticPr fontId="4" type="noConversion"/>
  </si>
  <si>
    <t>마두청소년수련관</t>
    <phoneticPr fontId="4" type="noConversion"/>
  </si>
  <si>
    <t>600 사업수익</t>
    <phoneticPr fontId="4" type="noConversion"/>
  </si>
  <si>
    <t>610 영업수익</t>
    <phoneticPr fontId="4" type="noConversion"/>
  </si>
  <si>
    <t>611 자체사업수익</t>
    <phoneticPr fontId="4" type="noConversion"/>
  </si>
  <si>
    <t>611-1 사업운영수익</t>
    <phoneticPr fontId="4" type="noConversion"/>
  </si>
  <si>
    <t xml:space="preserve">× </t>
    <phoneticPr fontId="4" type="noConversion"/>
  </si>
  <si>
    <t>=</t>
    <phoneticPr fontId="4" type="noConversion"/>
  </si>
  <si>
    <t>611-2 참가금수익</t>
    <phoneticPr fontId="4" type="noConversion"/>
  </si>
  <si>
    <t>617 기타영업수익</t>
    <phoneticPr fontId="4" type="noConversion"/>
  </si>
  <si>
    <t>617-1 시설사용료수익</t>
    <phoneticPr fontId="4" type="noConversion"/>
  </si>
  <si>
    <t>ㅇ대관수입</t>
  </si>
  <si>
    <t>­ 대관사용료</t>
  </si>
  <si>
    <t>617-3 기타수수료수입</t>
    <phoneticPr fontId="4" type="noConversion"/>
  </si>
  <si>
    <t>618 판매수익</t>
    <phoneticPr fontId="4" type="noConversion"/>
  </si>
  <si>
    <t>618-1 상품판매수익</t>
    <phoneticPr fontId="4" type="noConversion"/>
  </si>
  <si>
    <t>ㅇ북카페운영</t>
    <phoneticPr fontId="4" type="noConversion"/>
  </si>
  <si>
    <t>­ 판매수입</t>
    <phoneticPr fontId="4" type="noConversion"/>
  </si>
  <si>
    <t>620 영업외수익</t>
    <phoneticPr fontId="4" type="noConversion"/>
  </si>
  <si>
    <t>621 이자수익</t>
    <phoneticPr fontId="4" type="noConversion"/>
  </si>
  <si>
    <t>621-1 예금이자수익</t>
    <phoneticPr fontId="4" type="noConversion"/>
  </si>
  <si>
    <t>ㅇ예금이자수익</t>
    <phoneticPr fontId="4" type="noConversion"/>
  </si>
  <si>
    <t>623-1 국도시비보조금</t>
    <phoneticPr fontId="4" type="noConversion"/>
  </si>
  <si>
    <t>623-1 경기도교육청</t>
    <phoneticPr fontId="4" type="noConversion"/>
  </si>
  <si>
    <t>625 출자출연금수익</t>
    <phoneticPr fontId="4" type="noConversion"/>
  </si>
  <si>
    <t>625-2 지자체출자출연금</t>
    <phoneticPr fontId="4" type="noConversion"/>
  </si>
  <si>
    <t>­ 마두지원금</t>
    <phoneticPr fontId="4" type="noConversion"/>
  </si>
  <si>
    <t>100 자본적수입</t>
    <phoneticPr fontId="4" type="noConversion"/>
  </si>
  <si>
    <t>170 자본잉여금수입</t>
    <phoneticPr fontId="4" type="noConversion"/>
  </si>
  <si>
    <t>172 이월금</t>
    <phoneticPr fontId="4" type="noConversion"/>
  </si>
  <si>
    <t>172-3 전년도이월사업비</t>
    <phoneticPr fontId="4" type="noConversion"/>
  </si>
  <si>
    <t>[일반회계]</t>
    <phoneticPr fontId="4" type="noConversion"/>
  </si>
  <si>
    <t>(단위:천원)</t>
    <phoneticPr fontId="4" type="noConversion"/>
  </si>
  <si>
    <t>마두청소년수련관</t>
    <phoneticPr fontId="4" type="noConversion"/>
  </si>
  <si>
    <t>700 사업비용</t>
    <phoneticPr fontId="4" type="noConversion"/>
  </si>
  <si>
    <t>710 영업비용</t>
    <phoneticPr fontId="4" type="noConversion"/>
  </si>
  <si>
    <t>100 인건비</t>
    <phoneticPr fontId="4" type="noConversion"/>
  </si>
  <si>
    <t>101 급여</t>
    <phoneticPr fontId="4" type="noConversion"/>
  </si>
  <si>
    <t>106 퇴직급여</t>
    <phoneticPr fontId="4" type="noConversion"/>
  </si>
  <si>
    <t>200 경비</t>
    <phoneticPr fontId="4" type="noConversion"/>
  </si>
  <si>
    <t>­ 산재보험부담금</t>
    <phoneticPr fontId="4" type="noConversion"/>
  </si>
  <si>
    <t>203 공공요금 및 제세</t>
    <phoneticPr fontId="4" type="noConversion"/>
  </si>
  <si>
    <t>204 수도광열비</t>
    <phoneticPr fontId="4" type="noConversion"/>
  </si>
  <si>
    <t xml:space="preserve">× </t>
    <phoneticPr fontId="4" type="noConversion"/>
  </si>
  <si>
    <t>208 도서인쇄비</t>
    <phoneticPr fontId="4" type="noConversion"/>
  </si>
  <si>
    <t>ㅇ도서인쇄비</t>
    <phoneticPr fontId="4" type="noConversion"/>
  </si>
  <si>
    <t>209 지급임차료</t>
    <phoneticPr fontId="4" type="noConversion"/>
  </si>
  <si>
    <t>210 수선유지비</t>
    <phoneticPr fontId="4" type="noConversion"/>
  </si>
  <si>
    <t>­ 통신시설유지관리비</t>
    <phoneticPr fontId="4" type="noConversion"/>
  </si>
  <si>
    <t>211 차량유지비</t>
    <phoneticPr fontId="4" type="noConversion"/>
  </si>
  <si>
    <t>212 보험료</t>
    <phoneticPr fontId="4" type="noConversion"/>
  </si>
  <si>
    <t>213 지급수수료</t>
    <phoneticPr fontId="4" type="noConversion"/>
  </si>
  <si>
    <t>220 회의운영비</t>
    <phoneticPr fontId="4" type="noConversion"/>
  </si>
  <si>
    <t>405 자산취득비</t>
    <phoneticPr fontId="4" type="noConversion"/>
  </si>
  <si>
    <t>405-1 자산취득비</t>
    <phoneticPr fontId="4" type="noConversion"/>
  </si>
  <si>
    <t>ㅇ자산취득비</t>
    <phoneticPr fontId="4" type="noConversion"/>
  </si>
  <si>
    <t>720 청소년사업비</t>
    <phoneticPr fontId="4" type="noConversion"/>
  </si>
  <si>
    <t>722 목적사업비</t>
    <phoneticPr fontId="4" type="noConversion"/>
  </si>
  <si>
    <t>ㅇ청소년운영위원회</t>
    <phoneticPr fontId="4" type="noConversion"/>
  </si>
  <si>
    <t>=</t>
    <phoneticPr fontId="4" type="noConversion"/>
  </si>
  <si>
    <t>730 자체사업비</t>
    <phoneticPr fontId="4" type="noConversion"/>
  </si>
  <si>
    <t>104 무기계약근로자보수</t>
    <phoneticPr fontId="4" type="noConversion"/>
  </si>
  <si>
    <t>경비</t>
    <phoneticPr fontId="4" type="noConversion"/>
  </si>
  <si>
    <t>­ 미화</t>
    <phoneticPr fontId="4" type="noConversion"/>
  </si>
  <si>
    <t>­ 국민연금부담금</t>
    <phoneticPr fontId="4" type="noConversion"/>
  </si>
  <si>
    <t>ㅇ급량비</t>
    <phoneticPr fontId="4" type="noConversion"/>
  </si>
  <si>
    <t>202 여비</t>
    <phoneticPr fontId="4" type="noConversion"/>
  </si>
  <si>
    <t>ㅇ여비</t>
    <phoneticPr fontId="4" type="noConversion"/>
  </si>
  <si>
    <t>­ 국내여비</t>
    <phoneticPr fontId="4" type="noConversion"/>
  </si>
  <si>
    <t>­ 국외업무여비</t>
    <phoneticPr fontId="4" type="noConversion"/>
  </si>
  <si>
    <t>ㅇ제세공과금</t>
    <phoneticPr fontId="4" type="noConversion"/>
  </si>
  <si>
    <t>207 피복비</t>
    <phoneticPr fontId="4" type="noConversion"/>
  </si>
  <si>
    <t>ㅇ피복비</t>
    <phoneticPr fontId="4" type="noConversion"/>
  </si>
  <si>
    <t>­ 자료인쇄비</t>
    <phoneticPr fontId="4" type="noConversion"/>
  </si>
  <si>
    <t>214 업무추진비</t>
    <phoneticPr fontId="4" type="noConversion"/>
  </si>
  <si>
    <t>215 관서업무비</t>
    <phoneticPr fontId="4" type="noConversion"/>
  </si>
  <si>
    <t>775 기타영업외비용</t>
    <phoneticPr fontId="4" type="noConversion"/>
  </si>
  <si>
    <t>ㅇ이자반환금(과년도)</t>
    <phoneticPr fontId="4" type="noConversion"/>
  </si>
  <si>
    <t>­ 예금이자</t>
    <phoneticPr fontId="4" type="noConversion"/>
  </si>
  <si>
    <t>[일반회계]</t>
    <phoneticPr fontId="4" type="noConversion"/>
  </si>
  <si>
    <t>(단위:천원)</t>
    <phoneticPr fontId="4" type="noConversion"/>
  </si>
  <si>
    <t>예산과목</t>
    <phoneticPr fontId="4" type="noConversion"/>
  </si>
  <si>
    <t>산출내역</t>
    <phoneticPr fontId="4" type="noConversion"/>
  </si>
  <si>
    <t>장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</si>
  <si>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</si>
  <si>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</si>
  <si>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</si>
  <si>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세목</t>
    <phoneticPr fontId="4" type="noConversion"/>
  </si>
  <si>
    <t>세세목</t>
    <phoneticPr fontId="4" type="noConversion"/>
  </si>
  <si>
    <t>고양시청소년진로센터</t>
    <phoneticPr fontId="4" type="noConversion"/>
  </si>
  <si>
    <t>600 사업수익</t>
    <phoneticPr fontId="4" type="noConversion"/>
  </si>
  <si>
    <t>621 이자수익</t>
    <phoneticPr fontId="4" type="noConversion"/>
  </si>
  <si>
    <t>621-1 예금이자수익</t>
    <phoneticPr fontId="4" type="noConversion"/>
  </si>
  <si>
    <t>625 출자출연금수익</t>
    <phoneticPr fontId="4" type="noConversion"/>
  </si>
  <si>
    <t>625-2 지자체출자출연금</t>
    <phoneticPr fontId="4" type="noConversion"/>
  </si>
  <si>
    <t>100 자본적수입</t>
    <phoneticPr fontId="4" type="noConversion"/>
  </si>
  <si>
    <t>172 이월금</t>
    <phoneticPr fontId="4" type="noConversion"/>
  </si>
  <si>
    <t>172-3 전년도이월사업비</t>
    <phoneticPr fontId="4" type="noConversion"/>
  </si>
  <si>
    <t>[일반회계]</t>
    <phoneticPr fontId="4" type="noConversion"/>
  </si>
  <si>
    <t>(단위:천원)</t>
    <phoneticPr fontId="4" type="noConversion"/>
  </si>
  <si>
    <t>고양시청소년진로센터</t>
    <phoneticPr fontId="4" type="noConversion"/>
  </si>
  <si>
    <t>700 사업비용</t>
    <phoneticPr fontId="4" type="noConversion"/>
  </si>
  <si>
    <t>710 영업비용</t>
    <phoneticPr fontId="4" type="noConversion"/>
  </si>
  <si>
    <t>100 인건비</t>
    <phoneticPr fontId="4" type="noConversion"/>
  </si>
  <si>
    <t>ㅇ지급수수료</t>
    <phoneticPr fontId="4" type="noConversion"/>
  </si>
  <si>
    <t>216 교육훈련비</t>
    <phoneticPr fontId="4" type="noConversion"/>
  </si>
  <si>
    <t>218 행사홍보비</t>
    <phoneticPr fontId="4" type="noConversion"/>
  </si>
  <si>
    <t>405 자산취득비</t>
    <phoneticPr fontId="4" type="noConversion"/>
  </si>
  <si>
    <t>720 청소년사업비</t>
    <phoneticPr fontId="4" type="noConversion"/>
  </si>
  <si>
    <t>721-1 국도시비보조금사업비</t>
    <phoneticPr fontId="4" type="noConversion"/>
  </si>
  <si>
    <t>721-2 교육청사업비</t>
    <phoneticPr fontId="4" type="noConversion"/>
  </si>
  <si>
    <t>722 목적사업비</t>
    <phoneticPr fontId="4" type="noConversion"/>
  </si>
  <si>
    <t>770 영업외비용</t>
    <phoneticPr fontId="4" type="noConversion"/>
  </si>
  <si>
    <t>[일반회계]</t>
    <phoneticPr fontId="4" type="noConversion"/>
  </si>
  <si>
    <t>(단위:천원)</t>
    <phoneticPr fontId="4" type="noConversion"/>
  </si>
  <si>
    <t>예산과목</t>
    <phoneticPr fontId="4" type="noConversion"/>
  </si>
  <si>
    <t>산출내역</t>
    <phoneticPr fontId="4" type="noConversion"/>
  </si>
  <si>
    <t>장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</si>
  <si>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</si>
  <si>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</si>
  <si>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</si>
  <si>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세목</t>
    <phoneticPr fontId="4" type="noConversion"/>
  </si>
  <si>
    <t>세세목</t>
    <phoneticPr fontId="4" type="noConversion"/>
  </si>
  <si>
    <t>성사청소년문화의집</t>
    <phoneticPr fontId="4" type="noConversion"/>
  </si>
  <si>
    <t>611 자체사업수익</t>
    <phoneticPr fontId="4" type="noConversion"/>
  </si>
  <si>
    <t>611-2 참가금수익</t>
    <phoneticPr fontId="4" type="noConversion"/>
  </si>
  <si>
    <t>617 기타영업수익</t>
    <phoneticPr fontId="4" type="noConversion"/>
  </si>
  <si>
    <t>617-1 시설사용료수익</t>
    <phoneticPr fontId="4" type="noConversion"/>
  </si>
  <si>
    <t>620 영업외수익</t>
    <phoneticPr fontId="4" type="noConversion"/>
  </si>
  <si>
    <t>621 이자수익</t>
    <phoneticPr fontId="4" type="noConversion"/>
  </si>
  <si>
    <t>623-1 국도시비보조금</t>
    <phoneticPr fontId="4" type="noConversion"/>
  </si>
  <si>
    <t>625 출자출연금수익</t>
    <phoneticPr fontId="4" type="noConversion"/>
  </si>
  <si>
    <t>625-2 지자체출자출연금</t>
    <phoneticPr fontId="4" type="noConversion"/>
  </si>
  <si>
    <t>ㅇ고양시지원금</t>
    <phoneticPr fontId="4" type="noConversion"/>
  </si>
  <si>
    <t>100 자본적수입</t>
    <phoneticPr fontId="4" type="noConversion"/>
  </si>
  <si>
    <t>170 자본잉여금수입</t>
    <phoneticPr fontId="4" type="noConversion"/>
  </si>
  <si>
    <t>172 이월금</t>
    <phoneticPr fontId="4" type="noConversion"/>
  </si>
  <si>
    <t>172-3 전년도이월사업비</t>
    <phoneticPr fontId="4" type="noConversion"/>
  </si>
  <si>
    <t>[일반회계]</t>
    <phoneticPr fontId="4" type="noConversion"/>
  </si>
  <si>
    <t>(단위:천원)</t>
    <phoneticPr fontId="4" type="noConversion"/>
  </si>
  <si>
    <t>성사청소년문화의집</t>
    <phoneticPr fontId="4" type="noConversion"/>
  </si>
  <si>
    <t>700 사업비용</t>
    <phoneticPr fontId="4" type="noConversion"/>
  </si>
  <si>
    <t>710 영업비용</t>
    <phoneticPr fontId="4" type="noConversion"/>
  </si>
  <si>
    <t>100 인건비</t>
    <phoneticPr fontId="4" type="noConversion"/>
  </si>
  <si>
    <t>=</t>
    <phoneticPr fontId="4" type="noConversion"/>
  </si>
  <si>
    <t>­ 각종수수료(퇴직연금운용등)</t>
    <phoneticPr fontId="4" type="noConversion"/>
  </si>
  <si>
    <t>405 자산취득비</t>
    <phoneticPr fontId="5" type="noConversion"/>
  </si>
  <si>
    <t>770 영업외비용</t>
    <phoneticPr fontId="4" type="noConversion"/>
  </si>
  <si>
    <t>예산과목</t>
    <phoneticPr fontId="4" type="noConversion"/>
  </si>
  <si>
    <t>산출내역</t>
    <phoneticPr fontId="4" type="noConversion"/>
  </si>
  <si>
    <t>장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</si>
  <si>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</si>
  <si>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</si>
  <si>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</si>
  <si>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세목</t>
    <phoneticPr fontId="4" type="noConversion"/>
  </si>
  <si>
    <t>세세목</t>
    <phoneticPr fontId="4" type="noConversion"/>
  </si>
  <si>
    <t>탄현청소년문화의집</t>
    <phoneticPr fontId="4" type="noConversion"/>
  </si>
  <si>
    <t>611 자체사업수익</t>
    <phoneticPr fontId="4" type="noConversion"/>
  </si>
  <si>
    <t>611-1 사업운영수익</t>
    <phoneticPr fontId="4" type="noConversion"/>
  </si>
  <si>
    <t>617 기타영업수익</t>
    <phoneticPr fontId="4" type="noConversion"/>
  </si>
  <si>
    <t>617-1 시설사용료수익</t>
    <phoneticPr fontId="4" type="noConversion"/>
  </si>
  <si>
    <t>621-1 예금이자수익</t>
    <phoneticPr fontId="4" type="noConversion"/>
  </si>
  <si>
    <t>623-1 국도시비보조금</t>
    <phoneticPr fontId="4" type="noConversion"/>
  </si>
  <si>
    <t>[일반회계]</t>
    <phoneticPr fontId="4" type="noConversion"/>
  </si>
  <si>
    <t>(단위:천원)</t>
    <phoneticPr fontId="4" type="noConversion"/>
  </si>
  <si>
    <t>탄현청소년문화의집</t>
    <phoneticPr fontId="4" type="noConversion"/>
  </si>
  <si>
    <t>700 사업비용</t>
    <phoneticPr fontId="4" type="noConversion"/>
  </si>
  <si>
    <t>ㅇ무기계약근로자 보수</t>
    <phoneticPr fontId="4" type="noConversion"/>
  </si>
  <si>
    <t>200 경비</t>
    <phoneticPr fontId="4" type="noConversion"/>
  </si>
  <si>
    <t>722-2 청소년 보호와 안전</t>
    <phoneticPr fontId="4" type="noConversion"/>
  </si>
  <si>
    <t>­ 특근매식비</t>
  </si>
  <si>
    <t>- 시설유지보수관리비</t>
  </si>
  <si>
    <t>- 직원워크숍</t>
  </si>
  <si>
    <t>ㅇ자산취득비</t>
  </si>
  <si>
    <t>775 기타영업외비용</t>
    <phoneticPr fontId="4" type="noConversion"/>
  </si>
  <si>
    <t>[일반회계]</t>
    <phoneticPr fontId="4" type="noConversion"/>
  </si>
  <si>
    <t>(단위:천원)</t>
    <phoneticPr fontId="4" type="noConversion"/>
  </si>
  <si>
    <t>예산과목</t>
    <phoneticPr fontId="4" type="noConversion"/>
  </si>
  <si>
    <t>산출내역</t>
    <phoneticPr fontId="4" type="noConversion"/>
  </si>
  <si>
    <t>전년도
예산액</t>
  </si>
  <si>
    <t>장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</si>
  <si>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</si>
  <si>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</si>
  <si>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</si>
  <si>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세목</t>
    <phoneticPr fontId="4" type="noConversion"/>
  </si>
  <si>
    <t>세세목</t>
    <phoneticPr fontId="4" type="noConversion"/>
  </si>
  <si>
    <t>주교동청소년카페</t>
    <phoneticPr fontId="4" type="noConversion"/>
  </si>
  <si>
    <t>611 자체사업수익</t>
    <phoneticPr fontId="4" type="noConversion"/>
  </si>
  <si>
    <t>611-1 사업운영수익</t>
    <phoneticPr fontId="4" type="noConversion"/>
  </si>
  <si>
    <t>ㅇ교육프로그램 참가비</t>
    <phoneticPr fontId="4" type="noConversion"/>
  </si>
  <si>
    <t>621 이자수익</t>
    <phoneticPr fontId="4" type="noConversion"/>
  </si>
  <si>
    <t>621-1 예금이자수익</t>
    <phoneticPr fontId="4" type="noConversion"/>
  </si>
  <si>
    <t>623 보조금수익</t>
    <phoneticPr fontId="4" type="noConversion"/>
  </si>
  <si>
    <t>625 출자출연금수익</t>
    <phoneticPr fontId="4" type="noConversion"/>
  </si>
  <si>
    <t>625-2 지자체출자출연금</t>
    <phoneticPr fontId="4" type="noConversion"/>
  </si>
  <si>
    <t>100 자본적수입</t>
    <phoneticPr fontId="4" type="noConversion"/>
  </si>
  <si>
    <t>[일반회계]</t>
    <phoneticPr fontId="4" type="noConversion"/>
  </si>
  <si>
    <t>(단위:천원)</t>
    <phoneticPr fontId="4" type="noConversion"/>
  </si>
  <si>
    <t>주교동청소년카페</t>
    <phoneticPr fontId="4" type="noConversion"/>
  </si>
  <si>
    <t>700 사업비용</t>
    <phoneticPr fontId="4" type="noConversion"/>
  </si>
  <si>
    <t>710 영업비용</t>
    <phoneticPr fontId="4" type="noConversion"/>
  </si>
  <si>
    <t>100 인건비</t>
    <phoneticPr fontId="4" type="noConversion"/>
  </si>
  <si>
    <t>401-1 시설비</t>
    <phoneticPr fontId="4" type="noConversion"/>
  </si>
  <si>
    <t>720 청소년사업비</t>
    <phoneticPr fontId="4" type="noConversion"/>
  </si>
  <si>
    <t>721 보조금사업비</t>
    <phoneticPr fontId="4" type="noConversion"/>
  </si>
  <si>
    <t>[일반회계]</t>
    <phoneticPr fontId="4" type="noConversion"/>
  </si>
  <si>
    <t>예산과목</t>
    <phoneticPr fontId="4" type="noConversion"/>
  </si>
  <si>
    <t>산출내역</t>
    <phoneticPr fontId="4" type="noConversion"/>
  </si>
  <si>
    <t>예산액</t>
    <phoneticPr fontId="4" type="noConversion"/>
  </si>
  <si>
    <t>기정액</t>
    <phoneticPr fontId="4" type="noConversion"/>
  </si>
  <si>
    <t>증감</t>
    <phoneticPr fontId="4" type="noConversion"/>
  </si>
  <si>
    <t>증감률</t>
    <phoneticPr fontId="4" type="noConversion"/>
  </si>
  <si>
    <t>장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</si>
  <si>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</si>
  <si>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</si>
  <si>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</si>
  <si>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세목</t>
    <phoneticPr fontId="4" type="noConversion"/>
  </si>
  <si>
    <t>세세목</t>
    <phoneticPr fontId="4" type="noConversion"/>
  </si>
  <si>
    <t>일산서구청소년수련관</t>
    <phoneticPr fontId="4" type="noConversion"/>
  </si>
  <si>
    <t>600 사업수익</t>
    <phoneticPr fontId="4" type="noConversion"/>
  </si>
  <si>
    <t>610 영업수익</t>
    <phoneticPr fontId="4" type="noConversion"/>
  </si>
  <si>
    <t>611 자체사업수익</t>
    <phoneticPr fontId="4" type="noConversion"/>
  </si>
  <si>
    <t xml:space="preserve">× </t>
    <phoneticPr fontId="4" type="noConversion"/>
  </si>
  <si>
    <t>=</t>
    <phoneticPr fontId="4" type="noConversion"/>
  </si>
  <si>
    <t>617 기타영업수익</t>
    <phoneticPr fontId="4" type="noConversion"/>
  </si>
  <si>
    <t>617-3 기타수수료수입</t>
    <phoneticPr fontId="4" type="noConversion"/>
  </si>
  <si>
    <t>618 판매수익</t>
    <phoneticPr fontId="4" type="noConversion"/>
  </si>
  <si>
    <t>618-1 상품판매수익</t>
    <phoneticPr fontId="4" type="noConversion"/>
  </si>
  <si>
    <t>ㅇ북카페운영</t>
    <phoneticPr fontId="4" type="noConversion"/>
  </si>
  <si>
    <t>621 이자수익</t>
    <phoneticPr fontId="4" type="noConversion"/>
  </si>
  <si>
    <t>ㅇ외부공모사업금</t>
    <phoneticPr fontId="5" type="noConversion"/>
  </si>
  <si>
    <t>­ 동아리지원</t>
    <phoneticPr fontId="5" type="noConversion"/>
  </si>
  <si>
    <t>­ 국가교류</t>
    <phoneticPr fontId="5" type="noConversion"/>
  </si>
  <si>
    <t>ㅇ공모사업금</t>
    <phoneticPr fontId="5" type="noConversion"/>
  </si>
  <si>
    <t>­ 청소년활동</t>
    <phoneticPr fontId="5" type="noConversion"/>
  </si>
  <si>
    <t>[일반회계]</t>
    <phoneticPr fontId="4" type="noConversion"/>
  </si>
  <si>
    <t>(단위:천원)</t>
    <phoneticPr fontId="4" type="noConversion"/>
  </si>
  <si>
    <t>일산서구청소년수련관</t>
    <phoneticPr fontId="4" type="noConversion"/>
  </si>
  <si>
    <t>700 사업비용</t>
    <phoneticPr fontId="4" type="noConversion"/>
  </si>
  <si>
    <t>710 영업비용</t>
    <phoneticPr fontId="4" type="noConversion"/>
  </si>
  <si>
    <t>100 인건비</t>
    <phoneticPr fontId="4" type="noConversion"/>
  </si>
  <si>
    <t>200 경비</t>
    <phoneticPr fontId="4" type="noConversion"/>
  </si>
  <si>
    <t>ㅇ수선유지비</t>
    <phoneticPr fontId="4" type="noConversion"/>
  </si>
  <si>
    <t>ㅇ보험료</t>
    <phoneticPr fontId="4" type="noConversion"/>
  </si>
  <si>
    <t>­ 시설공구구입</t>
    <phoneticPr fontId="4" type="noConversion"/>
  </si>
  <si>
    <t>­ 시설재료구입</t>
    <phoneticPr fontId="4" type="noConversion"/>
  </si>
  <si>
    <t>722 목적사업비</t>
    <phoneticPr fontId="4" type="noConversion"/>
  </si>
  <si>
    <t>­ 무기계약근로자 보수(미화)</t>
    <phoneticPr fontId="4" type="noConversion"/>
  </si>
  <si>
    <t>[일반회계]</t>
    <phoneticPr fontId="4" type="noConversion"/>
  </si>
  <si>
    <t>(단위:천원)</t>
    <phoneticPr fontId="4" type="noConversion"/>
  </si>
  <si>
    <t>예산과목</t>
    <phoneticPr fontId="4" type="noConversion"/>
  </si>
  <si>
    <t>산출내역</t>
    <phoneticPr fontId="4" type="noConversion"/>
  </si>
  <si>
    <t>장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</si>
  <si>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</si>
  <si>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</si>
  <si>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</si>
  <si>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세목</t>
    <phoneticPr fontId="4" type="noConversion"/>
  </si>
  <si>
    <t>세세목</t>
    <phoneticPr fontId="4" type="noConversion"/>
  </si>
  <si>
    <t>토당청소년수련관</t>
    <phoneticPr fontId="4" type="noConversion"/>
  </si>
  <si>
    <t>600 사업수익</t>
    <phoneticPr fontId="4" type="noConversion"/>
  </si>
  <si>
    <t>610 영업수익</t>
    <phoneticPr fontId="4" type="noConversion"/>
  </si>
  <si>
    <t>611 자체사업수익</t>
    <phoneticPr fontId="4" type="noConversion"/>
  </si>
  <si>
    <t>=</t>
    <phoneticPr fontId="4" type="noConversion"/>
  </si>
  <si>
    <t>617 기타영업수익</t>
    <phoneticPr fontId="4" type="noConversion"/>
  </si>
  <si>
    <t>618 판매수익</t>
    <phoneticPr fontId="4" type="noConversion"/>
  </si>
  <si>
    <t>620 영업외수익</t>
    <phoneticPr fontId="4" type="noConversion"/>
  </si>
  <si>
    <t>621-1 예금이자수익</t>
    <phoneticPr fontId="4" type="noConversion"/>
  </si>
  <si>
    <t>623-3 기타보조금</t>
    <phoneticPr fontId="4" type="noConversion"/>
  </si>
  <si>
    <t>ㅇ법인전입금</t>
    <phoneticPr fontId="4" type="noConversion"/>
  </si>
  <si>
    <t>­ 법인전입금</t>
    <phoneticPr fontId="4" type="noConversion"/>
  </si>
  <si>
    <t>예산과목</t>
    <phoneticPr fontId="4" type="noConversion"/>
  </si>
  <si>
    <t>산출내역</t>
    <phoneticPr fontId="4" type="noConversion"/>
  </si>
  <si>
    <t>장</t>
    <phoneticPr fontId="4" type="noConversion"/>
  </si>
  <si>
    <t>관</t>
    <phoneticPr fontId="4" type="noConversion"/>
  </si>
  <si>
    <t>항</t>
    <phoneticPr fontId="4" type="noConversion"/>
  </si>
  <si>
    <t>세목</t>
    <phoneticPr fontId="4" type="noConversion"/>
  </si>
  <si>
    <t>세세목</t>
    <phoneticPr fontId="4" type="noConversion"/>
  </si>
  <si>
    <t>토당청소년수련관</t>
    <phoneticPr fontId="4" type="noConversion"/>
  </si>
  <si>
    <t>700 사업비용</t>
    <phoneticPr fontId="4" type="noConversion"/>
  </si>
  <si>
    <t>710 영업비용</t>
    <phoneticPr fontId="4" type="noConversion"/>
  </si>
  <si>
    <t xml:space="preserve">   - 관장</t>
    <phoneticPr fontId="4" type="noConversion"/>
  </si>
  <si>
    <t xml:space="preserve">   - 부장(5급)-2명</t>
    <phoneticPr fontId="4" type="noConversion"/>
  </si>
  <si>
    <t xml:space="preserve">   - 팀장(6급)-2명</t>
    <phoneticPr fontId="4" type="noConversion"/>
  </si>
  <si>
    <t xml:space="preserve">   - 사원(7급)-7명</t>
    <phoneticPr fontId="4" type="noConversion"/>
  </si>
  <si>
    <t xml:space="preserve">   - 배치지도사, 방과후 급여지원 (7급)-2명</t>
    <phoneticPr fontId="4" type="noConversion"/>
  </si>
  <si>
    <t>105 기간제근로자보수</t>
    <phoneticPr fontId="4" type="noConversion"/>
  </si>
  <si>
    <t>200 경비</t>
    <phoneticPr fontId="4" type="noConversion"/>
  </si>
  <si>
    <t>721 보조금사업비</t>
    <phoneticPr fontId="4" type="noConversion"/>
  </si>
  <si>
    <t>218 행사.홍보비</t>
    <phoneticPr fontId="4" type="noConversion"/>
  </si>
  <si>
    <t>775 기타영업외비용</t>
    <phoneticPr fontId="4" type="noConversion"/>
  </si>
  <si>
    <t>­ 이월금</t>
    <phoneticPr fontId="4" type="noConversion"/>
  </si>
  <si>
    <t>고양시청소년상담복지센터</t>
  </si>
  <si>
    <t>610 영업수익</t>
  </si>
  <si>
    <t>ㅇ프로그램</t>
  </si>
  <si>
    <t>­ 놀이치료</t>
  </si>
  <si>
    <t>­ 심리검사</t>
  </si>
  <si>
    <t>ㅇ고양시위탁보조금</t>
  </si>
  <si>
    <t>­ 상담지원금</t>
  </si>
  <si>
    <t>[일반회계]</t>
    <phoneticPr fontId="4" type="noConversion"/>
  </si>
  <si>
    <t>(단위:천원)</t>
    <phoneticPr fontId="4" type="noConversion"/>
  </si>
  <si>
    <t>고양시청소년상담복지센터</t>
    <phoneticPr fontId="4" type="noConversion"/>
  </si>
  <si>
    <t>700 사업비용</t>
    <phoneticPr fontId="4" type="noConversion"/>
  </si>
  <si>
    <t>100 인건비</t>
    <phoneticPr fontId="4" type="noConversion"/>
  </si>
  <si>
    <t>­ 소장</t>
  </si>
  <si>
    <t>­ 팀장 1</t>
  </si>
  <si>
    <t>­ 팀장 2</t>
  </si>
  <si>
    <t>­ 팀원</t>
  </si>
  <si>
    <t>×</t>
  </si>
  <si>
    <t>­ 행정원</t>
  </si>
  <si>
    <t>ㅇ직급보조비</t>
  </si>
  <si>
    <t>­ 팀장</t>
  </si>
  <si>
    <t>ㅇ정액급식비</t>
  </si>
  <si>
    <t>­ 급식비</t>
  </si>
  <si>
    <t>ㅇ장기근속수당</t>
  </si>
  <si>
    <t xml:space="preserve">­ 자격수당 </t>
  </si>
  <si>
    <t xml:space="preserve"> ㅇ교통비</t>
  </si>
  <si>
    <t>­ 교통비</t>
  </si>
  <si>
    <t>200 경비</t>
    <phoneticPr fontId="4" type="noConversion"/>
  </si>
  <si>
    <t>­ 사무용품비</t>
  </si>
  <si>
    <t>­ 신문구독료</t>
  </si>
  <si>
    <t>­ 복합기임차료</t>
  </si>
  <si>
    <t>­ 홈페이지관리비</t>
  </si>
  <si>
    <t>­ 냉온정수기임차료</t>
  </si>
  <si>
    <t>­ 시설유지관리비</t>
  </si>
  <si>
    <t>ㅇ지급수수료</t>
  </si>
  <si>
    <t>­ 각종수수료(퇴직연금운용등)</t>
  </si>
  <si>
    <t>ㅇ 업무추진비</t>
  </si>
  <si>
    <t>217 재료비기타</t>
    <phoneticPr fontId="4" type="noConversion"/>
  </si>
  <si>
    <t>722 목적사업비</t>
    <phoneticPr fontId="4" type="noConversion"/>
  </si>
  <si>
    <t>ㅇ또래상담동아리</t>
  </si>
  <si>
    <t>ㅇ또래상담교육프로그램</t>
  </si>
  <si>
    <t>ㅇ집단프로그램</t>
  </si>
  <si>
    <t>ㅇ심리검사비</t>
  </si>
  <si>
    <t>ㅇ사례교육프로그램</t>
  </si>
  <si>
    <t>ㅇ개인상담(놀이,미술치료)</t>
  </si>
  <si>
    <t>[일반회계]</t>
    <phoneticPr fontId="4" type="noConversion"/>
  </si>
  <si>
    <t>(단위:천원)</t>
    <phoneticPr fontId="4" type="noConversion"/>
  </si>
  <si>
    <t>관</t>
    <phoneticPr fontId="4" type="noConversion"/>
  </si>
  <si>
    <t>화정청소년카페</t>
    <phoneticPr fontId="4" type="noConversion"/>
  </si>
  <si>
    <t>ㅇ프로그램 참가비</t>
    <phoneticPr fontId="4" type="noConversion"/>
  </si>
  <si>
    <t xml:space="preserve">  - 프로그램참가비</t>
    <phoneticPr fontId="4" type="noConversion"/>
  </si>
  <si>
    <t>­ 대관사용료</t>
    <phoneticPr fontId="4" type="noConversion"/>
  </si>
  <si>
    <t>618 판매수익</t>
    <phoneticPr fontId="4" type="noConversion"/>
  </si>
  <si>
    <t>­ 판매수입</t>
    <phoneticPr fontId="4" type="noConversion"/>
  </si>
  <si>
    <t>620 영업외수익</t>
    <phoneticPr fontId="4" type="noConversion"/>
  </si>
  <si>
    <t>621 이자수익</t>
    <phoneticPr fontId="4" type="noConversion"/>
  </si>
  <si>
    <t>­ 예금이자</t>
    <phoneticPr fontId="4" type="noConversion"/>
  </si>
  <si>
    <t>=</t>
    <phoneticPr fontId="4" type="noConversion"/>
  </si>
  <si>
    <t>ㅇ고양시위탁보조금</t>
    <phoneticPr fontId="4" type="noConversion"/>
  </si>
  <si>
    <t>­ 화정지원금</t>
    <phoneticPr fontId="4" type="noConversion"/>
  </si>
  <si>
    <t>화정청소년카페</t>
    <phoneticPr fontId="4" type="noConversion"/>
  </si>
  <si>
    <t>ㅇ발송비</t>
    <phoneticPr fontId="4" type="noConversion"/>
  </si>
  <si>
    <t>백마역청소년카페</t>
  </si>
  <si>
    <t>ㅇ예금이자수익</t>
    <phoneticPr fontId="4" type="noConversion"/>
  </si>
  <si>
    <t>­ 예금이자</t>
    <phoneticPr fontId="4" type="noConversion"/>
  </si>
  <si>
    <t>623 보조금수익</t>
    <phoneticPr fontId="4" type="noConversion"/>
  </si>
  <si>
    <t>ㅇ고양시위탁보조금</t>
    <phoneticPr fontId="4" type="noConversion"/>
  </si>
  <si>
    <t>­ 백마지원금</t>
    <phoneticPr fontId="4" type="noConversion"/>
  </si>
  <si>
    <t>700 사업비용</t>
    <phoneticPr fontId="4" type="noConversion"/>
  </si>
  <si>
    <t>100 인건비</t>
    <phoneticPr fontId="4" type="noConversion"/>
  </si>
  <si>
    <t xml:space="preserve">× </t>
    <phoneticPr fontId="4" type="noConversion"/>
  </si>
  <si>
    <t>=</t>
    <phoneticPr fontId="4" type="noConversion"/>
  </si>
  <si>
    <t>=</t>
    <phoneticPr fontId="4" type="noConversion"/>
  </si>
  <si>
    <t>200 경비</t>
    <phoneticPr fontId="4" type="noConversion"/>
  </si>
  <si>
    <t>ㅇ사회4대보험</t>
    <phoneticPr fontId="4" type="noConversion"/>
  </si>
  <si>
    <t>­ 국민연금부담금</t>
    <phoneticPr fontId="4" type="noConversion"/>
  </si>
  <si>
    <t>­ 국민건강보험부담금</t>
    <phoneticPr fontId="4" type="noConversion"/>
  </si>
  <si>
    <t>­ 장기요양보험부담금</t>
    <phoneticPr fontId="4" type="noConversion"/>
  </si>
  <si>
    <t>­ 고용보험부담금</t>
    <phoneticPr fontId="4" type="noConversion"/>
  </si>
  <si>
    <t>­ 회계감사비</t>
    <phoneticPr fontId="5" type="noConversion"/>
  </si>
  <si>
    <t>[일반회계]</t>
    <phoneticPr fontId="4" type="noConversion"/>
  </si>
  <si>
    <t>(단위:천원)</t>
    <phoneticPr fontId="4" type="noConversion"/>
  </si>
  <si>
    <t>예산과목</t>
    <phoneticPr fontId="4" type="noConversion"/>
  </si>
  <si>
    <t>산출내역</t>
    <phoneticPr fontId="4" type="noConversion"/>
  </si>
  <si>
    <t>예산액</t>
    <phoneticPr fontId="4" type="noConversion"/>
  </si>
  <si>
    <t>기정액</t>
    <phoneticPr fontId="4" type="noConversion"/>
  </si>
  <si>
    <t>증감</t>
    <phoneticPr fontId="4" type="noConversion"/>
  </si>
  <si>
    <t>증감률</t>
    <phoneticPr fontId="4" type="noConversion"/>
  </si>
  <si>
    <t>장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</si>
  <si>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</si>
  <si>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</si>
  <si>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</si>
  <si>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세목</t>
    <phoneticPr fontId="4" type="noConversion"/>
  </si>
  <si>
    <t>세세목</t>
    <phoneticPr fontId="4" type="noConversion"/>
  </si>
  <si>
    <t>능곡역청소년카페</t>
  </si>
  <si>
    <t>600 사업수익</t>
    <phoneticPr fontId="4" type="noConversion"/>
  </si>
  <si>
    <t>ㅇ북카페운영</t>
    <phoneticPr fontId="4" type="noConversion"/>
  </si>
  <si>
    <t>­ 판매수입</t>
    <phoneticPr fontId="4" type="noConversion"/>
  </si>
  <si>
    <t xml:space="preserve">× </t>
    <phoneticPr fontId="4" type="noConversion"/>
  </si>
  <si>
    <t>=</t>
    <phoneticPr fontId="4" type="noConversion"/>
  </si>
  <si>
    <t>620 영업외수익</t>
    <phoneticPr fontId="4" type="noConversion"/>
  </si>
  <si>
    <t>621 이자수익</t>
    <phoneticPr fontId="4" type="noConversion"/>
  </si>
  <si>
    <t>ㅇ예금이자수익</t>
    <phoneticPr fontId="4" type="noConversion"/>
  </si>
  <si>
    <t>­ 예금이자</t>
    <phoneticPr fontId="4" type="noConversion"/>
  </si>
  <si>
    <t>623 보조금수익</t>
    <phoneticPr fontId="4" type="noConversion"/>
  </si>
  <si>
    <t>ㅇ고양시위탁보조금</t>
    <phoneticPr fontId="4" type="noConversion"/>
  </si>
  <si>
    <t>­ 능곡지원금</t>
    <phoneticPr fontId="4" type="noConversion"/>
  </si>
  <si>
    <t xml:space="preserve">× </t>
    <phoneticPr fontId="4" type="noConversion"/>
  </si>
  <si>
    <t>1식</t>
    <phoneticPr fontId="4" type="noConversion"/>
  </si>
  <si>
    <t>산출내역</t>
    <phoneticPr fontId="4" type="noConversion"/>
  </si>
  <si>
    <t>700 사업비용</t>
    <phoneticPr fontId="4" type="noConversion"/>
  </si>
  <si>
    <t>100 인건비</t>
    <phoneticPr fontId="4" type="noConversion"/>
  </si>
  <si>
    <t>[단위:천원]</t>
    <phoneticPr fontId="4" type="noConversion"/>
  </si>
  <si>
    <t>구     분</t>
    <phoneticPr fontId="4" type="noConversion"/>
  </si>
  <si>
    <t>증감(A-B)</t>
    <phoneticPr fontId="4" type="noConversion"/>
  </si>
  <si>
    <t>금액</t>
    <phoneticPr fontId="4" type="noConversion"/>
  </si>
  <si>
    <t>구성비</t>
    <phoneticPr fontId="4" type="noConversion"/>
  </si>
  <si>
    <t>금액</t>
    <phoneticPr fontId="4" type="noConversion"/>
  </si>
  <si>
    <t>구성비</t>
    <phoneticPr fontId="4" type="noConversion"/>
  </si>
  <si>
    <t>금액</t>
    <phoneticPr fontId="4" type="noConversion"/>
  </si>
  <si>
    <t>증감률</t>
    <phoneticPr fontId="4" type="noConversion"/>
  </si>
  <si>
    <t>총계</t>
    <phoneticPr fontId="4" type="noConversion"/>
  </si>
  <si>
    <t>출연금</t>
    <phoneticPr fontId="4" type="noConversion"/>
  </si>
  <si>
    <t>사업수익금</t>
    <phoneticPr fontId="4" type="noConversion"/>
  </si>
  <si>
    <t>이월금</t>
    <phoneticPr fontId="4" type="noConversion"/>
  </si>
  <si>
    <t>[단위:천원]</t>
    <phoneticPr fontId="5" type="noConversion"/>
  </si>
  <si>
    <t>세                         입</t>
    <phoneticPr fontId="5" type="noConversion"/>
  </si>
  <si>
    <t>예산과목</t>
    <phoneticPr fontId="5" type="noConversion"/>
  </si>
  <si>
    <t xml:space="preserve"> 증 감(A-B)</t>
    <phoneticPr fontId="5" type="noConversion"/>
  </si>
  <si>
    <t>금액</t>
    <phoneticPr fontId="5" type="noConversion"/>
  </si>
  <si>
    <t>구성비</t>
    <phoneticPr fontId="5" type="noConversion"/>
  </si>
  <si>
    <t>금액</t>
    <phoneticPr fontId="5" type="noConversion"/>
  </si>
  <si>
    <t>금  액</t>
    <phoneticPr fontId="5" type="noConversion"/>
  </si>
  <si>
    <t>증감률</t>
    <phoneticPr fontId="5" type="noConversion"/>
  </si>
  <si>
    <t>총      계</t>
    <phoneticPr fontId="5" type="noConversion"/>
  </si>
  <si>
    <t>사무국</t>
    <phoneticPr fontId="4" type="noConversion"/>
  </si>
  <si>
    <t>마두청소년수련관</t>
    <phoneticPr fontId="4" type="noConversion"/>
  </si>
  <si>
    <t>사무국</t>
  </si>
  <si>
    <t>고양시청소년진로센터</t>
    <phoneticPr fontId="4" type="noConversion"/>
  </si>
  <si>
    <t>마두청소년수련관</t>
  </si>
  <si>
    <t>성사청소년문화의집</t>
    <phoneticPr fontId="4" type="noConversion"/>
  </si>
  <si>
    <t>고양시청소년진로센터</t>
  </si>
  <si>
    <t>탄현청소년문화의집</t>
    <phoneticPr fontId="4" type="noConversion"/>
  </si>
  <si>
    <t>성사청소년문화의집</t>
  </si>
  <si>
    <t>주교동청소년카페</t>
    <phoneticPr fontId="4" type="noConversion"/>
  </si>
  <si>
    <t>탄현청소년문화의집</t>
  </si>
  <si>
    <t>일산서구청소년수련관</t>
  </si>
  <si>
    <t>주교동청소년카페</t>
  </si>
  <si>
    <t>토당청소년수련관</t>
  </si>
  <si>
    <t>고양시청소년진로센터</t>
    <phoneticPr fontId="4" type="noConversion"/>
  </si>
  <si>
    <t>화정청소년카페</t>
  </si>
  <si>
    <t>토당청소년수련관</t>
    <phoneticPr fontId="4" type="noConversion"/>
  </si>
  <si>
    <t>주교동청소년카페</t>
    <phoneticPr fontId="4" type="noConversion"/>
  </si>
  <si>
    <t>화정청소년카페</t>
    <phoneticPr fontId="4" type="noConversion"/>
  </si>
  <si>
    <t>마두청소년수련관</t>
    <phoneticPr fontId="4" type="noConversion"/>
  </si>
  <si>
    <t>성사청소년문화의집</t>
    <phoneticPr fontId="4" type="noConversion"/>
  </si>
  <si>
    <t>토당청소년수련관</t>
    <phoneticPr fontId="4" type="noConversion"/>
  </si>
  <si>
    <t>고양시청소년상담복지센터</t>
    <phoneticPr fontId="4" type="noConversion"/>
  </si>
  <si>
    <t>화정청소년카페</t>
    <phoneticPr fontId="4" type="noConversion"/>
  </si>
  <si>
    <t>[단위:천원]</t>
    <phoneticPr fontId="5" type="noConversion"/>
  </si>
  <si>
    <t>구     분</t>
    <phoneticPr fontId="5" type="noConversion"/>
  </si>
  <si>
    <t>증 감(A-B)</t>
    <phoneticPr fontId="5" type="noConversion"/>
  </si>
  <si>
    <t>구성비</t>
    <phoneticPr fontId="5" type="noConversion"/>
  </si>
  <si>
    <t>총     계</t>
    <phoneticPr fontId="5" type="noConversion"/>
  </si>
  <si>
    <t>사무국</t>
    <phoneticPr fontId="4" type="noConversion"/>
  </si>
  <si>
    <t>고양시청소년진로센터</t>
    <phoneticPr fontId="4" type="noConversion"/>
  </si>
  <si>
    <t>[단위:천원]</t>
    <phoneticPr fontId="5" type="noConversion"/>
  </si>
  <si>
    <t>세                         출</t>
    <phoneticPr fontId="5" type="noConversion"/>
  </si>
  <si>
    <t>금액</t>
    <phoneticPr fontId="5" type="noConversion"/>
  </si>
  <si>
    <t>구성비</t>
    <phoneticPr fontId="5" type="noConversion"/>
  </si>
  <si>
    <t>금  액</t>
    <phoneticPr fontId="5" type="noConversion"/>
  </si>
  <si>
    <t>증감률</t>
    <phoneticPr fontId="5" type="noConversion"/>
  </si>
  <si>
    <t>총      계</t>
    <phoneticPr fontId="5" type="noConversion"/>
  </si>
  <si>
    <t>사무국</t>
    <phoneticPr fontId="4" type="noConversion"/>
  </si>
  <si>
    <t>마두청소년수련관</t>
    <phoneticPr fontId="4" type="noConversion"/>
  </si>
  <si>
    <t>고양시청소년진로센터</t>
    <phoneticPr fontId="4" type="noConversion"/>
  </si>
  <si>
    <t>성사청소년문화의집</t>
    <phoneticPr fontId="4" type="noConversion"/>
  </si>
  <si>
    <t>탄현청소년문화의집</t>
    <phoneticPr fontId="4" type="noConversion"/>
  </si>
  <si>
    <t>주교동청소년카페</t>
    <phoneticPr fontId="4" type="noConversion"/>
  </si>
  <si>
    <t>일산서구청소년수련관</t>
    <phoneticPr fontId="4" type="noConversion"/>
  </si>
  <si>
    <t>토당청소년수련관</t>
    <phoneticPr fontId="4" type="noConversion"/>
  </si>
  <si>
    <t>탄현청소년문화의집</t>
    <phoneticPr fontId="4" type="noConversion"/>
  </si>
  <si>
    <t>일산서구청소년수련관</t>
    <phoneticPr fontId="4" type="noConversion"/>
  </si>
  <si>
    <t>고양시청소년상담복지센터</t>
    <phoneticPr fontId="4" type="noConversion"/>
  </si>
  <si>
    <t>일산서구청소년수련관</t>
    <phoneticPr fontId="4" type="noConversion"/>
  </si>
  <si>
    <t>일산서구청소년수련관</t>
    <phoneticPr fontId="4" type="noConversion"/>
  </si>
  <si>
    <t>[단위:천원]</t>
    <phoneticPr fontId="5" type="noConversion"/>
  </si>
  <si>
    <t>세                         입</t>
    <phoneticPr fontId="5" type="noConversion"/>
  </si>
  <si>
    <t>세                         출</t>
    <phoneticPr fontId="5" type="noConversion"/>
  </si>
  <si>
    <t>예산과목</t>
    <phoneticPr fontId="5" type="noConversion"/>
  </si>
  <si>
    <t xml:space="preserve"> 증 감(A-B)</t>
    <phoneticPr fontId="5" type="noConversion"/>
  </si>
  <si>
    <t xml:space="preserve"> 증 감(A-B)</t>
  </si>
  <si>
    <t>금  액</t>
    <phoneticPr fontId="5" type="noConversion"/>
  </si>
  <si>
    <t>구성비</t>
    <phoneticPr fontId="5" type="noConversion"/>
  </si>
  <si>
    <t>증감률</t>
    <phoneticPr fontId="5" type="noConversion"/>
  </si>
  <si>
    <t>총      계</t>
    <phoneticPr fontId="5" type="noConversion"/>
  </si>
  <si>
    <t>금  액</t>
  </si>
  <si>
    <t>1. 예산총칙</t>
    <phoneticPr fontId="4" type="noConversion"/>
  </si>
  <si>
    <t>제3조(수익적수입 및 지출) 수익적수입 및 지출의 예정액은 다음과 같이 정한다.</t>
    <phoneticPr fontId="4" type="noConversion"/>
  </si>
  <si>
    <t>수                       입</t>
    <phoneticPr fontId="4" type="noConversion"/>
  </si>
  <si>
    <t xml:space="preserve">   제1관 재단사업수입</t>
    <phoneticPr fontId="4" type="noConversion"/>
  </si>
  <si>
    <t>천원</t>
    <phoneticPr fontId="4" type="noConversion"/>
  </si>
  <si>
    <t xml:space="preserve">       제1항 영업수입</t>
    <phoneticPr fontId="4" type="noConversion"/>
  </si>
  <si>
    <t>천원</t>
    <phoneticPr fontId="4" type="noConversion"/>
  </si>
  <si>
    <t xml:space="preserve">       제2항 영업외수익</t>
    <phoneticPr fontId="4" type="noConversion"/>
  </si>
  <si>
    <t xml:space="preserve">       제3항 특별이익</t>
    <phoneticPr fontId="4" type="noConversion"/>
  </si>
  <si>
    <t>지                       출</t>
    <phoneticPr fontId="4" type="noConversion"/>
  </si>
  <si>
    <t xml:space="preserve">   제1관 재단사업비용</t>
    <phoneticPr fontId="4" type="noConversion"/>
  </si>
  <si>
    <t xml:space="preserve">       제1항 영업비용</t>
    <phoneticPr fontId="4" type="noConversion"/>
  </si>
  <si>
    <t>천원</t>
    <phoneticPr fontId="4" type="noConversion"/>
  </si>
  <si>
    <t xml:space="preserve">       제2항 영업외비용</t>
    <phoneticPr fontId="4" type="noConversion"/>
  </si>
  <si>
    <t xml:space="preserve">       제3항 특별손실</t>
    <phoneticPr fontId="4" type="noConversion"/>
  </si>
  <si>
    <t>천원</t>
    <phoneticPr fontId="4" type="noConversion"/>
  </si>
  <si>
    <t xml:space="preserve">       제4항 법인세등</t>
    <phoneticPr fontId="4" type="noConversion"/>
  </si>
  <si>
    <t xml:space="preserve">       제5항 예 비 비</t>
    <phoneticPr fontId="4" type="noConversion"/>
  </si>
  <si>
    <t>제4조(자본적수입 및 지출) 자본적수입 및 지출의 예정액은 다음과 같이 정한다.</t>
    <phoneticPr fontId="4" type="noConversion"/>
  </si>
  <si>
    <t>수                       입</t>
    <phoneticPr fontId="4" type="noConversion"/>
  </si>
  <si>
    <t xml:space="preserve">   제1관 자본적수입</t>
    <phoneticPr fontId="4" type="noConversion"/>
  </si>
  <si>
    <t xml:space="preserve">       제1항 투자자산</t>
    <phoneticPr fontId="4" type="noConversion"/>
  </si>
  <si>
    <t xml:space="preserve">       제2항 고정자산매각수입</t>
    <phoneticPr fontId="4" type="noConversion"/>
  </si>
  <si>
    <t xml:space="preserve">       제3항 고정부채수입</t>
    <phoneticPr fontId="4" type="noConversion"/>
  </si>
  <si>
    <t xml:space="preserve">       제4항 자 본 금</t>
    <phoneticPr fontId="4" type="noConversion"/>
  </si>
  <si>
    <t xml:space="preserve">       제5항 자본잉여금수입</t>
    <phoneticPr fontId="4" type="noConversion"/>
  </si>
  <si>
    <t xml:space="preserve">       제6항 기타자본잉여금수입</t>
    <phoneticPr fontId="4" type="noConversion"/>
  </si>
  <si>
    <t>지                       출</t>
    <phoneticPr fontId="4" type="noConversion"/>
  </si>
  <si>
    <t xml:space="preserve">   제1관 자본적지출</t>
    <phoneticPr fontId="4" type="noConversion"/>
  </si>
  <si>
    <t xml:space="preserve">       제2항 유형자산</t>
    <phoneticPr fontId="4" type="noConversion"/>
  </si>
  <si>
    <t xml:space="preserve">       제3항 무형자산</t>
    <phoneticPr fontId="4" type="noConversion"/>
  </si>
  <si>
    <t xml:space="preserve">       제4항 유동부채상환금</t>
    <phoneticPr fontId="4" type="noConversion"/>
  </si>
  <si>
    <t xml:space="preserve">       제5항 고정부채상환금</t>
    <phoneticPr fontId="4" type="noConversion"/>
  </si>
  <si>
    <t xml:space="preserve">       제6항 기타 자본적지출</t>
    <phoneticPr fontId="4" type="noConversion"/>
  </si>
  <si>
    <t xml:space="preserve">       제7항 예 비 비</t>
    <phoneticPr fontId="4" type="noConversion"/>
  </si>
  <si>
    <t>제5조(계속비) 계속비의 총액과 연할액은 다음과 같이 정한다.</t>
    <phoneticPr fontId="4" type="noConversion"/>
  </si>
  <si>
    <t>제7조(공사채 등) 해당사항 없음</t>
    <phoneticPr fontId="4" type="noConversion"/>
  </si>
  <si>
    <t>제8조(일시차입금) 해당사항 없음</t>
    <phoneticPr fontId="4" type="noConversion"/>
  </si>
  <si>
    <t xml:space="preserve">   (1) 인  건  비</t>
    <phoneticPr fontId="4" type="noConversion"/>
  </si>
  <si>
    <t xml:space="preserve">   (2) 업무추진비(타 비목으로부터의 전용금지)</t>
    <phoneticPr fontId="4" type="noConversion"/>
  </si>
  <si>
    <t>제10조(대행사업 경비)</t>
    <phoneticPr fontId="4" type="noConversion"/>
  </si>
  <si>
    <t>제11조(중요자산취득 및 처분) 중요자산의 취득 및 처분은 다음과 같이 한다.</t>
    <phoneticPr fontId="4" type="noConversion"/>
  </si>
  <si>
    <t>영업외수익</t>
    <phoneticPr fontId="4" type="noConversion"/>
  </si>
  <si>
    <t>지자체출자출연금</t>
    <phoneticPr fontId="4" type="noConversion"/>
  </si>
  <si>
    <t>국도시비보조금</t>
    <phoneticPr fontId="4" type="noConversion"/>
  </si>
  <si>
    <t>교육청사업</t>
    <phoneticPr fontId="4" type="noConversion"/>
  </si>
  <si>
    <t>기타보조금</t>
    <phoneticPr fontId="4" type="noConversion"/>
  </si>
  <si>
    <t>이자수익</t>
    <phoneticPr fontId="4" type="noConversion"/>
  </si>
  <si>
    <t>영업수익</t>
    <phoneticPr fontId="4" type="noConversion"/>
  </si>
  <si>
    <t>자체사업수익</t>
    <phoneticPr fontId="4" type="noConversion"/>
  </si>
  <si>
    <t>기타영업수익</t>
    <phoneticPr fontId="4" type="noConversion"/>
  </si>
  <si>
    <t>판매수익</t>
    <phoneticPr fontId="4" type="noConversion"/>
  </si>
  <si>
    <t>이월금</t>
    <phoneticPr fontId="4" type="noConversion"/>
  </si>
  <si>
    <t>보조금수익(출연금위탁교부)</t>
    <phoneticPr fontId="4" type="noConversion"/>
  </si>
  <si>
    <t>국도시비보조금사업비</t>
    <phoneticPr fontId="4" type="noConversion"/>
  </si>
  <si>
    <t>교육청사업비</t>
    <phoneticPr fontId="4" type="noConversion"/>
  </si>
  <si>
    <t>기타보조금사업비</t>
    <phoneticPr fontId="4" type="noConversion"/>
  </si>
  <si>
    <t>이자반환금(과년도)</t>
    <phoneticPr fontId="4" type="noConversion"/>
  </si>
  <si>
    <t>자체사업비</t>
    <phoneticPr fontId="4" type="noConversion"/>
  </si>
  <si>
    <t>자체사업경비</t>
    <phoneticPr fontId="4" type="noConversion"/>
  </si>
  <si>
    <t>자체사업인건비</t>
    <phoneticPr fontId="4" type="noConversion"/>
  </si>
  <si>
    <t>예비비</t>
    <phoneticPr fontId="4" type="noConversion"/>
  </si>
  <si>
    <t>성과급</t>
    <phoneticPr fontId="4" type="noConversion"/>
  </si>
  <si>
    <t>자산취득비</t>
    <phoneticPr fontId="4" type="noConversion"/>
  </si>
  <si>
    <t>목적사업비</t>
    <phoneticPr fontId="4" type="noConversion"/>
  </si>
  <si>
    <t>인건비</t>
    <phoneticPr fontId="4" type="noConversion"/>
  </si>
  <si>
    <t>사업비용</t>
    <phoneticPr fontId="4" type="noConversion"/>
  </si>
  <si>
    <t>자체사업비용</t>
    <phoneticPr fontId="4" type="noConversion"/>
  </si>
  <si>
    <t>추경액</t>
    <phoneticPr fontId="4" type="noConversion"/>
  </si>
  <si>
    <t>기정액</t>
    <phoneticPr fontId="4" type="noConversion"/>
  </si>
  <si>
    <t>영업외수익</t>
  </si>
  <si>
    <t>이월금 및 출자출연금</t>
    <phoneticPr fontId="4" type="noConversion"/>
  </si>
  <si>
    <t>사업비용</t>
    <phoneticPr fontId="4" type="noConversion"/>
  </si>
  <si>
    <t>영업수익(수익)</t>
    <phoneticPr fontId="4" type="noConversion"/>
  </si>
  <si>
    <t>사업비용(수익)</t>
    <phoneticPr fontId="4" type="noConversion"/>
  </si>
  <si>
    <t>예비비(차기년도이월금)</t>
    <phoneticPr fontId="4" type="noConversion"/>
  </si>
  <si>
    <t>자체사업수익</t>
  </si>
  <si>
    <t>기타영업수익</t>
  </si>
  <si>
    <t>[단위:천원]</t>
    <phoneticPr fontId="5" type="noConversion"/>
  </si>
  <si>
    <t>세                         입</t>
    <phoneticPr fontId="5" type="noConversion"/>
  </si>
  <si>
    <t>세                         출</t>
    <phoneticPr fontId="5" type="noConversion"/>
  </si>
  <si>
    <t>예산과목</t>
    <phoneticPr fontId="5" type="noConversion"/>
  </si>
  <si>
    <t>구성비</t>
    <phoneticPr fontId="5" type="noConversion"/>
  </si>
  <si>
    <t>금  액</t>
    <phoneticPr fontId="5" type="noConversion"/>
  </si>
  <si>
    <t>증감률</t>
    <phoneticPr fontId="5" type="noConversion"/>
  </si>
  <si>
    <t>금  액</t>
    <phoneticPr fontId="5" type="noConversion"/>
  </si>
  <si>
    <t>증감률</t>
    <phoneticPr fontId="5" type="noConversion"/>
  </si>
  <si>
    <t>합      계</t>
    <phoneticPr fontId="5" type="noConversion"/>
  </si>
  <si>
    <t>영업수익</t>
  </si>
  <si>
    <t>판매수익</t>
  </si>
  <si>
    <t>제9조(예산전용금지과목) 다음에 게기하는 과목의 경비는 이사회의 의결을 거치지 않고는</t>
    <phoneticPr fontId="4" type="noConversion"/>
  </si>
  <si>
    <t>그 경비를 전용할 수 없다.</t>
    <phoneticPr fontId="4" type="noConversion"/>
  </si>
  <si>
    <t>ㅇ예금이자수익</t>
    <phoneticPr fontId="4" type="noConversion"/>
  </si>
  <si>
    <t>­ 예금이자</t>
    <phoneticPr fontId="4" type="noConversion"/>
  </si>
  <si>
    <t xml:space="preserve">× </t>
    <phoneticPr fontId="4" type="noConversion"/>
  </si>
  <si>
    <t>=</t>
    <phoneticPr fontId="4" type="noConversion"/>
  </si>
  <si>
    <t>722-2 청소년보호와안전</t>
    <phoneticPr fontId="4" type="noConversion"/>
  </si>
  <si>
    <t>­ 시책추진업무추진비</t>
    <phoneticPr fontId="4" type="noConversion"/>
  </si>
  <si>
    <t>­ 발레</t>
  </si>
  <si>
    <t xml:space="preserve">   ­ 일산서구지원금</t>
    <phoneticPr fontId="4" type="noConversion"/>
  </si>
  <si>
    <t>ㅇ협회비및부담금</t>
  </si>
  <si>
    <t>­ 소방안전협회비</t>
  </si>
  <si>
    <t>­ 전기안전협회비</t>
  </si>
  <si>
    <t>­ 청소년시설협회비</t>
  </si>
  <si>
    <t>­ 교통유발부담금</t>
  </si>
  <si>
    <t>­  전기요금</t>
  </si>
  <si>
    <t>­ 자동제어유지관리비</t>
  </si>
  <si>
    <t>­ 기계냉난방기유지관리비</t>
  </si>
  <si>
    <t>­ PC유지관리비</t>
  </si>
  <si>
    <t>­ 통신시설유지관리비</t>
  </si>
  <si>
    <t>­ 승강기위탁관리유지관리비</t>
  </si>
  <si>
    <t>­ 건물수선비(대청소)</t>
  </si>
  <si>
    <t>­ 전기설비유지관리비</t>
  </si>
  <si>
    <t>­ 소방유지관리비</t>
  </si>
  <si>
    <t>­ 수련시설종합보험료</t>
  </si>
  <si>
    <t>­ 시설재료구입</t>
  </si>
  <si>
    <t>ㅇ직원복지</t>
  </si>
  <si>
    <t>­ 직원종합건강검진</t>
  </si>
  <si>
    <t>­ 청소년시설사업보고서제작</t>
  </si>
  <si>
    <t>­ 정기간행물 및 업무용도서구입비</t>
  </si>
  <si>
    <t>ㅇ기타공공요금</t>
    <phoneticPr fontId="4" type="noConversion"/>
  </si>
  <si>
    <t>ㅇ약품구입비</t>
  </si>
  <si>
    <t>­ 비상약품</t>
  </si>
  <si>
    <t>ㅇ단시간제인건비</t>
  </si>
  <si>
    <t>­ 연가보상비</t>
  </si>
  <si>
    <t>ㅇ고양시지원금</t>
    <phoneticPr fontId="4" type="noConversion"/>
  </si>
  <si>
    <t>­ 재단지원금</t>
    <phoneticPr fontId="5" type="noConversion"/>
  </si>
  <si>
    <t>재단지원금</t>
    <phoneticPr fontId="4" type="noConversion"/>
  </si>
  <si>
    <t>본예산</t>
    <phoneticPr fontId="4" type="noConversion"/>
  </si>
  <si>
    <t>인건비</t>
    <phoneticPr fontId="4" type="noConversion"/>
  </si>
  <si>
    <t>경비</t>
    <phoneticPr fontId="4" type="noConversion"/>
  </si>
  <si>
    <t>목적사업비</t>
    <phoneticPr fontId="4" type="noConversion"/>
  </si>
  <si>
    <t>자산취득비</t>
    <phoneticPr fontId="4" type="noConversion"/>
  </si>
  <si>
    <t>보조금사업비</t>
    <phoneticPr fontId="4" type="noConversion"/>
  </si>
  <si>
    <t>자체사업비</t>
    <phoneticPr fontId="4" type="noConversion"/>
  </si>
  <si>
    <t>영업외비용</t>
    <phoneticPr fontId="4" type="noConversion"/>
  </si>
  <si>
    <t>3차</t>
    <phoneticPr fontId="4" type="noConversion"/>
  </si>
  <si>
    <t>2차</t>
    <phoneticPr fontId="4" type="noConversion"/>
  </si>
  <si>
    <t>차액</t>
    <phoneticPr fontId="4" type="noConversion"/>
  </si>
  <si>
    <t>세출</t>
    <phoneticPr fontId="4" type="noConversion"/>
  </si>
  <si>
    <t>세입</t>
    <phoneticPr fontId="4" type="noConversion"/>
  </si>
  <si>
    <t>자체사업수익</t>
    <phoneticPr fontId="4" type="noConversion"/>
  </si>
  <si>
    <t>본예산</t>
    <phoneticPr fontId="4" type="noConversion"/>
  </si>
  <si>
    <t>보조금사업수익</t>
    <phoneticPr fontId="4" type="noConversion"/>
  </si>
  <si>
    <t>영업외수익</t>
    <phoneticPr fontId="4" type="noConversion"/>
  </si>
  <si>
    <t>이월금</t>
    <phoneticPr fontId="4" type="noConversion"/>
  </si>
  <si>
    <t>재단지원금</t>
    <phoneticPr fontId="4" type="noConversion"/>
  </si>
  <si>
    <t>합계</t>
    <phoneticPr fontId="4" type="noConversion"/>
  </si>
  <si>
    <t>721-3 기타보조금사업비</t>
    <phoneticPr fontId="4" type="noConversion"/>
  </si>
  <si>
    <t>623-3 기타보조금수익</t>
    <phoneticPr fontId="4" type="noConversion"/>
  </si>
  <si>
    <t>성과급</t>
    <phoneticPr fontId="4" type="noConversion"/>
  </si>
  <si>
    <t>목적사업비</t>
    <phoneticPr fontId="4" type="noConversion"/>
  </si>
  <si>
    <t>재단지원금</t>
    <phoneticPr fontId="4" type="noConversion"/>
  </si>
  <si>
    <t>예비비</t>
    <phoneticPr fontId="4" type="noConversion"/>
  </si>
  <si>
    <t>기타영업외비용</t>
    <phoneticPr fontId="4" type="noConversion"/>
  </si>
  <si>
    <t>본예산합계</t>
    <phoneticPr fontId="4" type="noConversion"/>
  </si>
  <si>
    <t>본예산</t>
    <phoneticPr fontId="4" type="noConversion"/>
  </si>
  <si>
    <t>전년도이월사업비</t>
    <phoneticPr fontId="4" type="noConversion"/>
  </si>
  <si>
    <t>예금이자수익</t>
    <phoneticPr fontId="4" type="noConversion"/>
  </si>
  <si>
    <t>이월금</t>
    <phoneticPr fontId="4" type="noConversion"/>
  </si>
  <si>
    <t>사무국</t>
    <phoneticPr fontId="4" type="noConversion"/>
  </si>
  <si>
    <t>재단지원금</t>
    <phoneticPr fontId="4" type="noConversion"/>
  </si>
  <si>
    <t>재단지원금</t>
  </si>
  <si>
    <t>재단지원금</t>
    <phoneticPr fontId="4" type="noConversion"/>
  </si>
  <si>
    <t>자체사업비용</t>
    <phoneticPr fontId="4" type="noConversion"/>
  </si>
  <si>
    <t>자체사업인건비</t>
    <phoneticPr fontId="4" type="noConversion"/>
  </si>
  <si>
    <t>마두청소년수련관</t>
    <phoneticPr fontId="4" type="noConversion"/>
  </si>
  <si>
    <t>토당청소년수련관</t>
    <phoneticPr fontId="4" type="noConversion"/>
  </si>
  <si>
    <t>고양시청소년상담복지센터</t>
    <phoneticPr fontId="4" type="noConversion"/>
  </si>
  <si>
    <t>화정청소년카페</t>
    <phoneticPr fontId="4" type="noConversion"/>
  </si>
  <si>
    <t>자체사업경비</t>
    <phoneticPr fontId="4" type="noConversion"/>
  </si>
  <si>
    <t>토당청소년수련관</t>
    <phoneticPr fontId="4" type="noConversion"/>
  </si>
  <si>
    <t>고양시청소년상담복지센터</t>
    <phoneticPr fontId="4" type="noConversion"/>
  </si>
  <si>
    <t>­  2018년사업비이월금</t>
  </si>
  <si>
    <t>ㅇ평생교육프로그램</t>
    <phoneticPr fontId="4" type="noConversion"/>
  </si>
  <si>
    <t>­ 미술교실</t>
    <phoneticPr fontId="4" type="noConversion"/>
  </si>
  <si>
    <t xml:space="preserve">× </t>
    <phoneticPr fontId="4" type="noConversion"/>
  </si>
  <si>
    <t>=</t>
    <phoneticPr fontId="4" type="noConversion"/>
  </si>
  <si>
    <t xml:space="preserve"> </t>
    <phoneticPr fontId="63" type="noConversion"/>
  </si>
  <si>
    <t>­ 손뜨개질</t>
    <phoneticPr fontId="4" type="noConversion"/>
  </si>
  <si>
    <t xml:space="preserve">× </t>
    <phoneticPr fontId="4" type="noConversion"/>
  </si>
  <si>
    <t>=</t>
    <phoneticPr fontId="4" type="noConversion"/>
  </si>
  <si>
    <t>­ 캘리그라피</t>
    <phoneticPr fontId="4" type="noConversion"/>
  </si>
  <si>
    <t xml:space="preserve">× </t>
    <phoneticPr fontId="4" type="noConversion"/>
  </si>
  <si>
    <t>­ 기타교실</t>
    <phoneticPr fontId="4" type="noConversion"/>
  </si>
  <si>
    <t>­ 중국어(원어민)</t>
    <phoneticPr fontId="4" type="noConversion"/>
  </si>
  <si>
    <t>=</t>
    <phoneticPr fontId="4" type="noConversion"/>
  </si>
  <si>
    <t>­ 성인영어(원어민)</t>
    <phoneticPr fontId="4" type="noConversion"/>
  </si>
  <si>
    <t>ㅇ생활체육프로그램</t>
    <phoneticPr fontId="4" type="noConversion"/>
  </si>
  <si>
    <t>­ 요가</t>
    <phoneticPr fontId="4" type="noConversion"/>
  </si>
  <si>
    <t>­ 필라테스</t>
    <phoneticPr fontId="4" type="noConversion"/>
  </si>
  <si>
    <t>­ 발레핏</t>
    <phoneticPr fontId="4" type="noConversion"/>
  </si>
  <si>
    <t>­ 라인댄스</t>
    <phoneticPr fontId="4" type="noConversion"/>
  </si>
  <si>
    <t>­ 줌바댄스</t>
    <phoneticPr fontId="4" type="noConversion"/>
  </si>
  <si>
    <t>­ 클라이밍</t>
    <phoneticPr fontId="4" type="noConversion"/>
  </si>
  <si>
    <t>­ 휘트니스</t>
    <phoneticPr fontId="4" type="noConversion"/>
  </si>
  <si>
    <t>ㅇ평생교육프로그램(청소년)</t>
    <phoneticPr fontId="4" type="noConversion"/>
  </si>
  <si>
    <t>­ 미술교실</t>
    <phoneticPr fontId="4" type="noConversion"/>
  </si>
  <si>
    <t>­ 캘리그라피</t>
    <phoneticPr fontId="4" type="noConversion"/>
  </si>
  <si>
    <t>­ 청소년영어(원어민)</t>
    <phoneticPr fontId="4" type="noConversion"/>
  </si>
  <si>
    <t>­ 코딩교육</t>
    <phoneticPr fontId="4" type="noConversion"/>
  </si>
  <si>
    <t>­ 과학실험</t>
    <phoneticPr fontId="4" type="noConversion"/>
  </si>
  <si>
    <t>­ 독서논술</t>
    <phoneticPr fontId="4" type="noConversion"/>
  </si>
  <si>
    <t>­ 중등논술</t>
    <phoneticPr fontId="4" type="noConversion"/>
  </si>
  <si>
    <t>ㅇ생활체육프로그램(청소년)</t>
    <phoneticPr fontId="4" type="noConversion"/>
  </si>
  <si>
    <t>­ 요가&amp;필라테스</t>
    <phoneticPr fontId="4" type="noConversion"/>
  </si>
  <si>
    <t>­ 방송댄스(주중)</t>
    <phoneticPr fontId="4" type="noConversion"/>
  </si>
  <si>
    <t>­ 방송댄스(주말)</t>
    <phoneticPr fontId="4" type="noConversion"/>
  </si>
  <si>
    <t>­ 음악줄넘기(주중)</t>
    <phoneticPr fontId="4" type="noConversion"/>
  </si>
  <si>
    <t>­ 음악줄넘기(주말)</t>
    <phoneticPr fontId="4" type="noConversion"/>
  </si>
  <si>
    <t>­ 농구교실(주중)</t>
    <phoneticPr fontId="4" type="noConversion"/>
  </si>
  <si>
    <t>­ 농구교실(주말)</t>
    <phoneticPr fontId="4" type="noConversion"/>
  </si>
  <si>
    <t>­ 클라이밍(주중)</t>
    <phoneticPr fontId="4" type="noConversion"/>
  </si>
  <si>
    <t>­ 클라이밍(주말)</t>
    <phoneticPr fontId="4" type="noConversion"/>
  </si>
  <si>
    <t>­ 그룹트레이닝</t>
    <phoneticPr fontId="4" type="noConversion"/>
  </si>
  <si>
    <t>­ 휘트니스</t>
    <phoneticPr fontId="4" type="noConversion"/>
  </si>
  <si>
    <t>ㅇ방학특강(청소년)</t>
    <phoneticPr fontId="4" type="noConversion"/>
  </si>
  <si>
    <t>­ 여름방학프로그램</t>
    <phoneticPr fontId="4" type="noConversion"/>
  </si>
  <si>
    <t>­ 겨울방학프로그램</t>
    <phoneticPr fontId="4" type="noConversion"/>
  </si>
  <si>
    <t>ㅇ학교연계참가비</t>
    <phoneticPr fontId="63" type="noConversion"/>
  </si>
  <si>
    <t>ㅇ청소년국제교류캠프</t>
    <phoneticPr fontId="63" type="noConversion"/>
  </si>
  <si>
    <t>ㅇ국가간청소년교류 MDTelecom</t>
    <phoneticPr fontId="63" type="noConversion"/>
  </si>
  <si>
    <t>=</t>
    <phoneticPr fontId="63" type="noConversion"/>
  </si>
  <si>
    <t>­  2018년도사업비이월금</t>
    <phoneticPr fontId="4" type="noConversion"/>
  </si>
  <si>
    <t>ㅇ생활체육프로그램(성인)</t>
    <phoneticPr fontId="4" type="noConversion"/>
  </si>
  <si>
    <t xml:space="preserve"> - 줌바댄스</t>
    <phoneticPr fontId="4" type="noConversion"/>
  </si>
  <si>
    <t xml:space="preserve"> - 요가</t>
    <phoneticPr fontId="4" type="noConversion"/>
  </si>
  <si>
    <t xml:space="preserve"> - 필라테스</t>
    <phoneticPr fontId="4" type="noConversion"/>
  </si>
  <si>
    <t xml:space="preserve">× </t>
    <phoneticPr fontId="4" type="noConversion"/>
  </si>
  <si>
    <t xml:space="preserve"> - 클라이밍(월수금)</t>
    <phoneticPr fontId="4" type="noConversion"/>
  </si>
  <si>
    <t xml:space="preserve"> - 클라이밍(화목)</t>
    <phoneticPr fontId="4" type="noConversion"/>
  </si>
  <si>
    <t>ㅇ교육문화프로그램(성인)</t>
    <phoneticPr fontId="4" type="noConversion"/>
  </si>
  <si>
    <t xml:space="preserve"> - 한국화</t>
    <phoneticPr fontId="4" type="noConversion"/>
  </si>
  <si>
    <t xml:space="preserve"> - 팝아트</t>
    <phoneticPr fontId="4" type="noConversion"/>
  </si>
  <si>
    <t xml:space="preserve"> - 신규 프로그램 1개</t>
    <phoneticPr fontId="4" type="noConversion"/>
  </si>
  <si>
    <t>ㅇ요리프로그램(성인)</t>
    <phoneticPr fontId="4" type="noConversion"/>
  </si>
  <si>
    <t xml:space="preserve"> - 요리프로그램</t>
    <phoneticPr fontId="4" type="noConversion"/>
  </si>
  <si>
    <t xml:space="preserve"> - 제과프로그램</t>
    <phoneticPr fontId="4" type="noConversion"/>
  </si>
  <si>
    <t xml:space="preserve">× </t>
    <phoneticPr fontId="4" type="noConversion"/>
  </si>
  <si>
    <t>=</t>
    <phoneticPr fontId="4" type="noConversion"/>
  </si>
  <si>
    <t xml:space="preserve"> - 제빵프로그램</t>
    <phoneticPr fontId="4" type="noConversion"/>
  </si>
  <si>
    <t>ㅇ생활체육프로그램(청소년)</t>
    <phoneticPr fontId="4" type="noConversion"/>
  </si>
  <si>
    <t xml:space="preserve"> - 음악줄넘기(초등학생)</t>
    <phoneticPr fontId="4" type="noConversion"/>
  </si>
  <si>
    <t xml:space="preserve"> - 요가</t>
    <phoneticPr fontId="4" type="noConversion"/>
  </si>
  <si>
    <t xml:space="preserve"> - 클라이밍(월수금)</t>
    <phoneticPr fontId="4" type="noConversion"/>
  </si>
  <si>
    <t xml:space="preserve"> - 클라이밍(화목)</t>
    <phoneticPr fontId="4" type="noConversion"/>
  </si>
  <si>
    <t>ㅇ교육문화프로그램(청소년)</t>
    <phoneticPr fontId="4" type="noConversion"/>
  </si>
  <si>
    <t xml:space="preserve"> - 통기타</t>
    <phoneticPr fontId="4" type="noConversion"/>
  </si>
  <si>
    <t xml:space="preserve"> - 팝아트</t>
    <phoneticPr fontId="4" type="noConversion"/>
  </si>
  <si>
    <t xml:space="preserve"> - 신규프로그램 5개</t>
    <phoneticPr fontId="4" type="noConversion"/>
  </si>
  <si>
    <t>ㅇ요리프로그램(청소년)</t>
    <phoneticPr fontId="4" type="noConversion"/>
  </si>
  <si>
    <t xml:space="preserve"> - 요리프로젝트</t>
    <phoneticPr fontId="4" type="noConversion"/>
  </si>
  <si>
    <t xml:space="preserve"> - 제과프로젝트</t>
    <phoneticPr fontId="4" type="noConversion"/>
  </si>
  <si>
    <t xml:space="preserve"> - 제빵프로젝트</t>
    <phoneticPr fontId="4" type="noConversion"/>
  </si>
  <si>
    <t>ㅇ토요일 프로그램(청소년)</t>
    <phoneticPr fontId="4" type="noConversion"/>
  </si>
  <si>
    <t xml:space="preserve"> - 방송댄스</t>
    <phoneticPr fontId="4" type="noConversion"/>
  </si>
  <si>
    <t xml:space="preserve"> - 클라이밍</t>
    <phoneticPr fontId="4" type="noConversion"/>
  </si>
  <si>
    <t xml:space="preserve"> - 우쿠렐레</t>
    <phoneticPr fontId="4" type="noConversion"/>
  </si>
  <si>
    <t xml:space="preserve"> - 캘리그라피</t>
    <phoneticPr fontId="4" type="noConversion"/>
  </si>
  <si>
    <t xml:space="preserve"> - 신규프로그램 4개</t>
    <phoneticPr fontId="4" type="noConversion"/>
  </si>
  <si>
    <t>ㅇ예비 청소년지도사 실습 지원</t>
    <phoneticPr fontId="4" type="noConversion"/>
  </si>
  <si>
    <t>ㅇ가족 소통 개선 프로젝트</t>
    <phoneticPr fontId="4" type="noConversion"/>
  </si>
  <si>
    <t>ㅇ포용적 세계시민 양성 사업</t>
    <phoneticPr fontId="4" type="noConversion"/>
  </si>
  <si>
    <t>ㅇ학교 연계 프로젝트</t>
    <phoneticPr fontId="4" type="noConversion"/>
  </si>
  <si>
    <t>ㅇ전년도이월금</t>
    <phoneticPr fontId="4" type="noConversion"/>
  </si>
  <si>
    <t xml:space="preserve"> - 이월금</t>
    <phoneticPr fontId="4" type="noConversion"/>
  </si>
  <si>
    <t>=</t>
    <phoneticPr fontId="4" type="noConversion"/>
  </si>
  <si>
    <t>ㅇ프로그램참가비</t>
    <phoneticPr fontId="5" type="noConversion"/>
  </si>
  <si>
    <t xml:space="preserve"> - 국제활동가프로젝트</t>
    <phoneticPr fontId="5" type="noConversion"/>
  </si>
  <si>
    <t xml:space="preserve"> - 글로컬캠프</t>
    <phoneticPr fontId="5" type="noConversion"/>
  </si>
  <si>
    <t xml:space="preserve"> - 메이커프로그램</t>
    <phoneticPr fontId="5" type="noConversion"/>
  </si>
  <si>
    <t xml:space="preserve"> - 여행지원사업</t>
    <phoneticPr fontId="5" type="noConversion"/>
  </si>
  <si>
    <t xml:space="preserve"> - 학교연계사업</t>
    <phoneticPr fontId="5" type="noConversion"/>
  </si>
  <si>
    <t xml:space="preserve"> - 진로캠프</t>
    <phoneticPr fontId="5" type="noConversion"/>
  </si>
  <si>
    <t xml:space="preserve"> - 성사창의체험학교1</t>
    <phoneticPr fontId="5" type="noConversion"/>
  </si>
  <si>
    <t xml:space="preserve"> - 성사창의체험학교2</t>
    <phoneticPr fontId="5" type="noConversion"/>
  </si>
  <si>
    <t xml:space="preserve"> - 성사창의체험학교3</t>
    <phoneticPr fontId="5" type="noConversion"/>
  </si>
  <si>
    <t>ㅇ대관수입</t>
    <phoneticPr fontId="5" type="noConversion"/>
  </si>
  <si>
    <t xml:space="preserve">× </t>
    <phoneticPr fontId="4" type="noConversion"/>
  </si>
  <si>
    <t>=</t>
    <phoneticPr fontId="4" type="noConversion"/>
  </si>
  <si>
    <t>ㅇ청소년 카페 운영</t>
    <phoneticPr fontId="63" type="noConversion"/>
  </si>
  <si>
    <t xml:space="preserve">× </t>
    <phoneticPr fontId="63" type="noConversion"/>
  </si>
  <si>
    <t>=</t>
    <phoneticPr fontId="63" type="noConversion"/>
  </si>
  <si>
    <t>ㅇ부가가치세환급</t>
  </si>
  <si>
    <t>­ 부가세환급</t>
  </si>
  <si>
    <t xml:space="preserve">× </t>
    <phoneticPr fontId="63" type="noConversion"/>
  </si>
  <si>
    <t>ㅇ기타수입</t>
  </si>
  <si>
    <t>­ 기타수입</t>
  </si>
  <si>
    <t xml:space="preserve">× </t>
    <phoneticPr fontId="63" type="noConversion"/>
  </si>
  <si>
    <t>ㅇ고양시지원금</t>
    <phoneticPr fontId="63" type="noConversion"/>
  </si>
  <si>
    <t>ㅇ예금이자수익</t>
    <phoneticPr fontId="5" type="noConversion"/>
  </si>
  <si>
    <t>ㅇ고양시지원금</t>
    <phoneticPr fontId="5" type="noConversion"/>
  </si>
  <si>
    <t>­  성사지원금</t>
    <phoneticPr fontId="5" type="noConversion"/>
  </si>
  <si>
    <t>ㅇ전년도이월금</t>
    <phoneticPr fontId="5" type="noConversion"/>
  </si>
  <si>
    <t>­ 전년도이월금</t>
    <phoneticPr fontId="5" type="noConversion"/>
  </si>
  <si>
    <t>ㅇ예금이자수익</t>
    <phoneticPr fontId="4" type="noConversion"/>
  </si>
  <si>
    <t>­ 예금이자</t>
    <phoneticPr fontId="4" type="noConversion"/>
  </si>
  <si>
    <t xml:space="preserve">× </t>
    <phoneticPr fontId="4" type="noConversion"/>
  </si>
  <si>
    <t>=</t>
    <phoneticPr fontId="4" type="noConversion"/>
  </si>
  <si>
    <t>ㅇ고양시지원금</t>
    <phoneticPr fontId="4" type="noConversion"/>
  </si>
  <si>
    <t>­ 진로지원금</t>
    <phoneticPr fontId="4" type="noConversion"/>
  </si>
  <si>
    <t>ㅇ교육문화프로그램</t>
  </si>
  <si>
    <t>­ 한자교실(청소년)</t>
    <phoneticPr fontId="5" type="noConversion"/>
  </si>
  <si>
    <t>­ 스크레칭 코딩(청소년)</t>
    <phoneticPr fontId="5" type="noConversion"/>
  </si>
  <si>
    <t>­ 영재과학교실(청소년)</t>
    <phoneticPr fontId="5" type="noConversion"/>
  </si>
  <si>
    <t>­ 드럼교실(청소년)</t>
    <phoneticPr fontId="5" type="noConversion"/>
  </si>
  <si>
    <t>­ 드럼교실(성인)</t>
    <phoneticPr fontId="5" type="noConversion"/>
  </si>
  <si>
    <t>­ 우크렐레(청소년)</t>
    <phoneticPr fontId="5" type="noConversion"/>
  </si>
  <si>
    <t>­ 우크렐레(성인)</t>
    <phoneticPr fontId="5" type="noConversion"/>
  </si>
  <si>
    <t>­ 기타교실(성인)</t>
    <phoneticPr fontId="5" type="noConversion"/>
  </si>
  <si>
    <t>­ 원어민 일본어교실(성인)</t>
    <phoneticPr fontId="5" type="noConversion"/>
  </si>
  <si>
    <t>­ 테라피요가(성인)</t>
    <phoneticPr fontId="5" type="noConversion"/>
  </si>
  <si>
    <t>­ 교정필라테스(청소년)</t>
    <phoneticPr fontId="5" type="noConversion"/>
  </si>
  <si>
    <t>­ 교정필라테스(성인)</t>
    <phoneticPr fontId="5" type="noConversion"/>
  </si>
  <si>
    <t>­ 발레피트니스(성인)</t>
    <phoneticPr fontId="5" type="noConversion"/>
  </si>
  <si>
    <t>­ 발레(청소년)</t>
    <phoneticPr fontId="5" type="noConversion"/>
  </si>
  <si>
    <t>­ 청소년 방학특강(청소년)</t>
    <phoneticPr fontId="5" type="noConversion"/>
  </si>
  <si>
    <t>ㅇ교육활동프로그램</t>
    <phoneticPr fontId="4" type="noConversion"/>
  </si>
  <si>
    <t>ㅇ후기청소년 국제활동가 프로젝트</t>
    <phoneticPr fontId="5" type="noConversion"/>
  </si>
  <si>
    <t>ㅇ후기청소년 국제활동가 프로젝트</t>
    <phoneticPr fontId="5" type="noConversion"/>
  </si>
  <si>
    <t>­ 방송댄스(청소년)</t>
    <phoneticPr fontId="5" type="noConversion"/>
  </si>
  <si>
    <t>ㅇ고양시지원금</t>
    <phoneticPr fontId="5" type="noConversion"/>
  </si>
  <si>
    <t>­  탄현지원금</t>
    <phoneticPr fontId="5" type="noConversion"/>
  </si>
  <si>
    <t>­ 전년도이월금</t>
    <phoneticPr fontId="5" type="noConversion"/>
  </si>
  <si>
    <t>­ 주교지원금</t>
    <phoneticPr fontId="5" type="noConversion"/>
  </si>
  <si>
    <t>- 사무국장(임기직)</t>
    <phoneticPr fontId="4" type="noConversion"/>
  </si>
  <si>
    <t>- 4급(일반직)</t>
    <phoneticPr fontId="4" type="noConversion"/>
  </si>
  <si>
    <t>- 5급(일반직)</t>
    <phoneticPr fontId="4" type="noConversion"/>
  </si>
  <si>
    <t>- 6급(일반직)</t>
    <phoneticPr fontId="4" type="noConversion"/>
  </si>
  <si>
    <t>- 7급 대리급(일반직)</t>
    <phoneticPr fontId="4" type="noConversion"/>
  </si>
  <si>
    <t>=</t>
    <phoneticPr fontId="4" type="noConversion"/>
  </si>
  <si>
    <t>- 7급 사원급(일반직)</t>
    <phoneticPr fontId="4" type="noConversion"/>
  </si>
  <si>
    <t>- 대표이사(임기직)</t>
    <phoneticPr fontId="4" type="noConversion"/>
  </si>
  <si>
    <t>- 사무국장(임기직)</t>
    <phoneticPr fontId="4" type="noConversion"/>
  </si>
  <si>
    <t>ㅇ직급보조비</t>
    <phoneticPr fontId="4" type="noConversion"/>
  </si>
  <si>
    <t xml:space="preserve">× </t>
    <phoneticPr fontId="4" type="noConversion"/>
  </si>
  <si>
    <t>ㅇ가족수당</t>
    <phoneticPr fontId="4" type="noConversion"/>
  </si>
  <si>
    <t>- 5급(일반직)</t>
    <phoneticPr fontId="4" type="noConversion"/>
  </si>
  <si>
    <t>ㅇ정근수당가산금</t>
    <phoneticPr fontId="4" type="noConversion"/>
  </si>
  <si>
    <t>- 25년 이상(가산)</t>
    <phoneticPr fontId="4" type="noConversion"/>
  </si>
  <si>
    <t>- 10년 이상</t>
    <phoneticPr fontId="4" type="noConversion"/>
  </si>
  <si>
    <t>- 5년 이상</t>
    <phoneticPr fontId="4" type="noConversion"/>
  </si>
  <si>
    <t>ㅇ명절휴가비</t>
    <phoneticPr fontId="4" type="noConversion"/>
  </si>
  <si>
    <t>- 7급 대리급(일반직)</t>
    <phoneticPr fontId="4" type="noConversion"/>
  </si>
  <si>
    <t>- 연가보상비</t>
    <phoneticPr fontId="4" type="noConversion"/>
  </si>
  <si>
    <t>ㅇ육아휴직수당</t>
    <phoneticPr fontId="4" type="noConversion"/>
  </si>
  <si>
    <t>ㅇ급량비</t>
    <phoneticPr fontId="4" type="noConversion"/>
  </si>
  <si>
    <t>ㅇ시간외/당직근무수당</t>
    <phoneticPr fontId="4" type="noConversion"/>
  </si>
  <si>
    <t>ㅇ정근수당</t>
    <phoneticPr fontId="4" type="noConversion"/>
  </si>
  <si>
    <t>- 대표이사(임기직)</t>
    <phoneticPr fontId="4" type="noConversion"/>
  </si>
  <si>
    <t>- 4급(일반직)</t>
    <phoneticPr fontId="4" type="noConversion"/>
  </si>
  <si>
    <t>=</t>
    <phoneticPr fontId="4" type="noConversion"/>
  </si>
  <si>
    <t>- 7급 사원급(일반직)</t>
    <phoneticPr fontId="4" type="noConversion"/>
  </si>
  <si>
    <t>- 6급(일반직)</t>
    <phoneticPr fontId="4" type="noConversion"/>
  </si>
  <si>
    <t>=</t>
    <phoneticPr fontId="4" type="noConversion"/>
  </si>
  <si>
    <t>- 배우자</t>
    <phoneticPr fontId="4" type="noConversion"/>
  </si>
  <si>
    <t>- 부양가족, 첫째자녀</t>
    <phoneticPr fontId="4" type="noConversion"/>
  </si>
  <si>
    <t xml:space="preserve">× </t>
    <phoneticPr fontId="4" type="noConversion"/>
  </si>
  <si>
    <t>ㅇ자격수당</t>
    <phoneticPr fontId="4" type="noConversion"/>
  </si>
  <si>
    <t>- 둘째자녀</t>
    <phoneticPr fontId="4" type="noConversion"/>
  </si>
  <si>
    <t>- 정액급식비</t>
    <phoneticPr fontId="4" type="noConversion"/>
  </si>
  <si>
    <t>- 청소년지도사</t>
    <phoneticPr fontId="4" type="noConversion"/>
  </si>
  <si>
    <t>- 노무/회계담당</t>
    <phoneticPr fontId="4" type="noConversion"/>
  </si>
  <si>
    <t>- 4급(일반직)</t>
    <phoneticPr fontId="4" type="noConversion"/>
  </si>
  <si>
    <t>- 6급(일반직)</t>
    <phoneticPr fontId="4" type="noConversion"/>
  </si>
  <si>
    <t>- 20년 이상</t>
    <phoneticPr fontId="4" type="noConversion"/>
  </si>
  <si>
    <t>- 15년 이상</t>
    <phoneticPr fontId="4" type="noConversion"/>
  </si>
  <si>
    <t>- 7급 대리급(일반직)</t>
    <phoneticPr fontId="4" type="noConversion"/>
  </si>
  <si>
    <t>ㅇ연가보상비</t>
    <phoneticPr fontId="4" type="noConversion"/>
  </si>
  <si>
    <t>- 육아휴직수당</t>
    <phoneticPr fontId="4" type="noConversion"/>
  </si>
  <si>
    <t xml:space="preserve">× </t>
    <phoneticPr fontId="4" type="noConversion"/>
  </si>
  <si>
    <t>ㅇ협회비</t>
  </si>
  <si>
    <t>­ 경기도청소년재단협회비</t>
  </si>
  <si>
    <t>­  수도, 전기 등 공과금</t>
  </si>
  <si>
    <t>­ 사무용 소프트웨어, 백신 등</t>
    <phoneticPr fontId="5" type="noConversion"/>
  </si>
  <si>
    <t>­ 행정전산장비 유지보수</t>
    <phoneticPr fontId="5" type="noConversion"/>
  </si>
  <si>
    <t>­ 회계감사료</t>
    <phoneticPr fontId="5" type="noConversion"/>
  </si>
  <si>
    <t>­ 세무회계자문료</t>
    <phoneticPr fontId="5" type="noConversion"/>
  </si>
  <si>
    <t>­ 법무, 노무 자문료</t>
    <phoneticPr fontId="5" type="noConversion"/>
  </si>
  <si>
    <t>ㅇ제증명발급 등 수수료</t>
    <phoneticPr fontId="5" type="noConversion"/>
  </si>
  <si>
    <t>­ 증명서 발급수수료</t>
    <phoneticPr fontId="5" type="noConversion"/>
  </si>
  <si>
    <t>­ 공인인증서 발급수수료</t>
    <phoneticPr fontId="5" type="noConversion"/>
  </si>
  <si>
    <t>ㅇ직원채용시험</t>
    <phoneticPr fontId="5" type="noConversion"/>
  </si>
  <si>
    <t>­ 직원채용시험운영비</t>
    <phoneticPr fontId="5" type="noConversion"/>
  </si>
  <si>
    <t>ㅇ교육훈련비</t>
    <phoneticPr fontId="5" type="noConversion"/>
  </si>
  <si>
    <t>­ 직원교육지원</t>
    <phoneticPr fontId="5" type="noConversion"/>
  </si>
  <si>
    <t>­ 재단임직원교육지원</t>
    <phoneticPr fontId="5" type="noConversion"/>
  </si>
  <si>
    <t>­ 대, 소봉투, 쇼핑백 등</t>
    <phoneticPr fontId="5" type="noConversion"/>
  </si>
  <si>
    <t>­ 기타 홍보물(현수막 등)</t>
    <phoneticPr fontId="5" type="noConversion"/>
  </si>
  <si>
    <t>ㅇ재단행사</t>
    <phoneticPr fontId="5" type="noConversion"/>
  </si>
  <si>
    <t>­ 시무식 및 종무식</t>
    <phoneticPr fontId="5" type="noConversion"/>
  </si>
  <si>
    <t>­ 월례회의 진행비</t>
    <phoneticPr fontId="5" type="noConversion"/>
  </si>
  <si>
    <t>ㅇ 인사위원회</t>
    <phoneticPr fontId="4" type="noConversion"/>
  </si>
  <si>
    <t>ㅇ 기타업무회의비</t>
    <phoneticPr fontId="5" type="noConversion"/>
  </si>
  <si>
    <t>ㅇ 채용심사수당</t>
    <phoneticPr fontId="5" type="noConversion"/>
  </si>
  <si>
    <t>ㅇ 노사협의회</t>
    <phoneticPr fontId="5" type="noConversion"/>
  </si>
  <si>
    <t>­ 노사협의회 운영비</t>
    <phoneticPr fontId="5" type="noConversion"/>
  </si>
  <si>
    <t xml:space="preserve">  · 전산서버</t>
    <phoneticPr fontId="4" type="noConversion"/>
  </si>
  <si>
    <t>ㅇ 자산취득비</t>
    <phoneticPr fontId="5" type="noConversion"/>
  </si>
  <si>
    <t>ㅇ성과급</t>
    <phoneticPr fontId="5" type="noConversion"/>
  </si>
  <si>
    <t>­ 성과급(대표이사)</t>
    <phoneticPr fontId="5" type="noConversion"/>
  </si>
  <si>
    <t>­ 성과급(직원)</t>
    <phoneticPr fontId="5" type="noConversion"/>
  </si>
  <si>
    <t>=</t>
    <phoneticPr fontId="5" type="noConversion"/>
  </si>
  <si>
    <t>=</t>
    <phoneticPr fontId="5" type="noConversion"/>
  </si>
  <si>
    <t xml:space="preserve">    - 홍보비</t>
    <phoneticPr fontId="5" type="noConversion"/>
  </si>
  <si>
    <t xml:space="preserve">    - 운영비</t>
    <phoneticPr fontId="5" type="noConversion"/>
  </si>
  <si>
    <t xml:space="preserve">    - 홍보비</t>
    <phoneticPr fontId="5" type="noConversion"/>
  </si>
  <si>
    <t>=</t>
    <phoneticPr fontId="5" type="noConversion"/>
  </si>
  <si>
    <t xml:space="preserve">    - 부스설치비</t>
    <phoneticPr fontId="5" type="noConversion"/>
  </si>
  <si>
    <t>ㅇ고양시청소년차세대위원회</t>
    <phoneticPr fontId="5" type="noConversion"/>
  </si>
  <si>
    <t xml:space="preserve">   - 연합발대식</t>
    <phoneticPr fontId="5" type="noConversion"/>
  </si>
  <si>
    <t xml:space="preserve">   - 워크숍(교육 등)</t>
    <phoneticPr fontId="5" type="noConversion"/>
  </si>
  <si>
    <t>- 정책제안 실행</t>
    <phoneticPr fontId="5" type="noConversion"/>
  </si>
  <si>
    <t>ㅇ고양시청소년의회</t>
    <phoneticPr fontId="5" type="noConversion"/>
  </si>
  <si>
    <t xml:space="preserve">   - 국회체험 및 교류활동</t>
    <phoneticPr fontId="5" type="noConversion"/>
  </si>
  <si>
    <t>=</t>
    <phoneticPr fontId="5" type="noConversion"/>
  </si>
  <si>
    <t xml:space="preserve">   - 의원 모집 및 선발</t>
    <phoneticPr fontId="5" type="noConversion"/>
  </si>
  <si>
    <t xml:space="preserve">   - 신입의원 워크숍</t>
    <phoneticPr fontId="5" type="noConversion"/>
  </si>
  <si>
    <t xml:space="preserve">   ­ 정책제안활동, 평가회</t>
    <phoneticPr fontId="5" type="noConversion"/>
  </si>
  <si>
    <t>­ 단체복, 의원증, 뱃지 제작</t>
    <phoneticPr fontId="5" type="noConversion"/>
  </si>
  <si>
    <t>ㅇ제3회 고양시청소년정책제안대회</t>
    <phoneticPr fontId="5" type="noConversion"/>
  </si>
  <si>
    <t xml:space="preserve">    - 홍보비</t>
    <phoneticPr fontId="5" type="noConversion"/>
  </si>
  <si>
    <t xml:space="preserve">    - 예선심사 및 워크숍</t>
    <phoneticPr fontId="5" type="noConversion"/>
  </si>
  <si>
    <t xml:space="preserve">    - 본선발표</t>
    <phoneticPr fontId="5" type="noConversion"/>
  </si>
  <si>
    <t>ㅇ고양시 청소년활동의 세계화</t>
    <phoneticPr fontId="5" type="noConversion"/>
  </si>
  <si>
    <t xml:space="preserve">    - 강사비(가급 2시간)</t>
    <phoneticPr fontId="5" type="noConversion"/>
  </si>
  <si>
    <t xml:space="preserve">    - 체재비</t>
    <phoneticPr fontId="5" type="noConversion"/>
  </si>
  <si>
    <t>ㅇ고양시 청소년 축제</t>
    <phoneticPr fontId="5" type="noConversion"/>
  </si>
  <si>
    <t xml:space="preserve">    - 부스운영비</t>
    <phoneticPr fontId="5" type="noConversion"/>
  </si>
  <si>
    <t xml:space="preserve">    - 부대시설 설치비</t>
    <phoneticPr fontId="5" type="noConversion"/>
  </si>
  <si>
    <t xml:space="preserve">    - 식비</t>
    <phoneticPr fontId="5" type="noConversion"/>
  </si>
  <si>
    <t xml:space="preserve">    - 무대설치비</t>
    <phoneticPr fontId="5" type="noConversion"/>
  </si>
  <si>
    <t xml:space="preserve">    - 평가비</t>
    <phoneticPr fontId="5" type="noConversion"/>
  </si>
  <si>
    <t>ㅇ고양시지역네트워크사업</t>
    <phoneticPr fontId="5" type="noConversion"/>
  </si>
  <si>
    <t xml:space="preserve">    - 물품제작비</t>
    <phoneticPr fontId="5" type="noConversion"/>
  </si>
  <si>
    <t>ㅇ고양시청소년데이터베이스구축</t>
    <phoneticPr fontId="5" type="noConversion"/>
  </si>
  <si>
    <t xml:space="preserve">    - 데이터베이스 구축 및 연구용역</t>
    <phoneticPr fontId="5" type="noConversion"/>
  </si>
  <si>
    <t>ㅇ고양시청소년위탁공모사업</t>
    <phoneticPr fontId="5" type="noConversion"/>
  </si>
  <si>
    <t xml:space="preserve">    - 위탁사업비</t>
    <phoneticPr fontId="5" type="noConversion"/>
  </si>
  <si>
    <t xml:space="preserve">    - 현장평가</t>
    <phoneticPr fontId="5" type="noConversion"/>
  </si>
  <si>
    <t xml:space="preserve">    - 보고서 발간</t>
    <phoneticPr fontId="5" type="noConversion"/>
  </si>
  <si>
    <t xml:space="preserve">    - PPT 제작</t>
    <phoneticPr fontId="5" type="noConversion"/>
  </si>
  <si>
    <t xml:space="preserve">    - 운영비</t>
    <phoneticPr fontId="5" type="noConversion"/>
  </si>
  <si>
    <t xml:space="preserve">    - 백서</t>
    <phoneticPr fontId="5" type="noConversion"/>
  </si>
  <si>
    <t xml:space="preserve">   - SNS 유료광고</t>
    <phoneticPr fontId="5" type="noConversion"/>
  </si>
  <si>
    <t>ㅇ통합홈페이지구축</t>
    <phoneticPr fontId="5" type="noConversion"/>
  </si>
  <si>
    <t xml:space="preserve">   - 시스템운영비</t>
    <phoneticPr fontId="5" type="noConversion"/>
  </si>
  <si>
    <t>ㅇ전략홍보 및 홍보 관리사업</t>
    <phoneticPr fontId="5" type="noConversion"/>
  </si>
  <si>
    <t xml:space="preserve">   - 유지보수비</t>
    <phoneticPr fontId="5" type="noConversion"/>
  </si>
  <si>
    <t xml:space="preserve">    - 네트워크교류회 홍보비</t>
    <phoneticPr fontId="5" type="noConversion"/>
  </si>
  <si>
    <t xml:space="preserve">    - 네트워크교류회 운영비</t>
    <phoneticPr fontId="5" type="noConversion"/>
  </si>
  <si>
    <t xml:space="preserve">    - 네트워크교류회 대여비</t>
    <phoneticPr fontId="5" type="noConversion"/>
  </si>
  <si>
    <t xml:space="preserve">    - 소통 및 간담회</t>
    <phoneticPr fontId="5" type="noConversion"/>
  </si>
  <si>
    <t>ㅇ2019 대한민국청소년박람회</t>
    <phoneticPr fontId="5" type="noConversion"/>
  </si>
  <si>
    <t xml:space="preserve">    - 박람회 TF팀 운영</t>
    <phoneticPr fontId="5" type="noConversion"/>
  </si>
  <si>
    <t xml:space="preserve">    - 독립부스 설치(트러스)</t>
    <phoneticPr fontId="5" type="noConversion"/>
  </si>
  <si>
    <t xml:space="preserve">    - 독립부스 인테리어</t>
    <phoneticPr fontId="5" type="noConversion"/>
  </si>
  <si>
    <t xml:space="preserve">    - 홍보물/기념품 제작</t>
    <phoneticPr fontId="5" type="noConversion"/>
  </si>
  <si>
    <t xml:space="preserve">    - 박람회 운영비</t>
    <phoneticPr fontId="5" type="noConversion"/>
  </si>
  <si>
    <t>ㅇ사회적가치실현</t>
    <phoneticPr fontId="5" type="noConversion"/>
  </si>
  <si>
    <t xml:space="preserve">    - 활동운영비</t>
    <phoneticPr fontId="5" type="noConversion"/>
  </si>
  <si>
    <t xml:space="preserve">    - 홍보비</t>
    <phoneticPr fontId="5" type="noConversion"/>
  </si>
  <si>
    <t xml:space="preserve">    - 데이터베이스 연보 발간</t>
    <phoneticPr fontId="5" type="noConversion"/>
  </si>
  <si>
    <t xml:space="preserve">    - 진행비</t>
    <phoneticPr fontId="5" type="noConversion"/>
  </si>
  <si>
    <t xml:space="preserve">    - 사전설명회</t>
    <phoneticPr fontId="5" type="noConversion"/>
  </si>
  <si>
    <t xml:space="preserve">    - 선정심사</t>
    <phoneticPr fontId="5" type="noConversion"/>
  </si>
  <si>
    <t xml:space="preserve">    - 사전워크샵</t>
    <phoneticPr fontId="5" type="noConversion"/>
  </si>
  <si>
    <t xml:space="preserve">    - 컨설팅</t>
    <phoneticPr fontId="5" type="noConversion"/>
  </si>
  <si>
    <t xml:space="preserve">    - 사후평가</t>
    <phoneticPr fontId="5" type="noConversion"/>
  </si>
  <si>
    <t xml:space="preserve">    - 평가회의</t>
    <phoneticPr fontId="5" type="noConversion"/>
  </si>
  <si>
    <t xml:space="preserve">    - 모니터링단 운영</t>
    <phoneticPr fontId="5" type="noConversion"/>
  </si>
  <si>
    <t>ㅇ안전관리지원사업</t>
    <phoneticPr fontId="5" type="noConversion"/>
  </si>
  <si>
    <t xml:space="preserve">    - 안전관리 매뉴얼 제작</t>
    <phoneticPr fontId="5" type="noConversion"/>
  </si>
  <si>
    <t xml:space="preserve">    - 응급, 휴대용 구급함</t>
    <phoneticPr fontId="5" type="noConversion"/>
  </si>
  <si>
    <t xml:space="preserve">    - 안전교육 강사비</t>
    <phoneticPr fontId="5" type="noConversion"/>
  </si>
  <si>
    <t>ㅇ고양시청소년활동정보시스템</t>
    <phoneticPr fontId="5" type="noConversion"/>
  </si>
  <si>
    <t xml:space="preserve">    - APP 추가기능 구축</t>
    <phoneticPr fontId="5" type="noConversion"/>
  </si>
  <si>
    <t xml:space="preserve">    - 명패 제작비</t>
    <phoneticPr fontId="5" type="noConversion"/>
  </si>
  <si>
    <t xml:space="preserve">    - 유지보수비</t>
    <phoneticPr fontId="5" type="noConversion"/>
  </si>
  <si>
    <t>ㅇ정보제공용 홍보물 제작사업</t>
    <phoneticPr fontId="5" type="noConversion"/>
  </si>
  <si>
    <t xml:space="preserve">    - 리플렛</t>
    <phoneticPr fontId="5" type="noConversion"/>
  </si>
  <si>
    <t xml:space="preserve">    - 브로슈어</t>
    <phoneticPr fontId="5" type="noConversion"/>
  </si>
  <si>
    <t xml:space="preserve">    - 영상</t>
    <phoneticPr fontId="5" type="noConversion"/>
  </si>
  <si>
    <t xml:space="preserve">   - 홍보실무교육</t>
    <phoneticPr fontId="5" type="noConversion"/>
  </si>
  <si>
    <t xml:space="preserve">   - 이벤트 지원사업</t>
    <phoneticPr fontId="5" type="noConversion"/>
  </si>
  <si>
    <t xml:space="preserve">   - 이미지 라이선스 구입</t>
    <phoneticPr fontId="5" type="noConversion"/>
  </si>
  <si>
    <t xml:space="preserve">   - 기타 홍보비</t>
    <phoneticPr fontId="5" type="noConversion"/>
  </si>
  <si>
    <t xml:space="preserve">   - 신규홈페이지구축비</t>
    <phoneticPr fontId="5" type="noConversion"/>
  </si>
  <si>
    <t>ㅇ재단고객만족사업</t>
    <phoneticPr fontId="5" type="noConversion"/>
  </si>
  <si>
    <t xml:space="preserve">   - 기념물품 제작</t>
    <phoneticPr fontId="5" type="noConversion"/>
  </si>
  <si>
    <t xml:space="preserve">   - 설문조사용 기기구입</t>
    <phoneticPr fontId="5" type="noConversion"/>
  </si>
  <si>
    <t>ㅇ이자반환금(과년도)</t>
    <phoneticPr fontId="4" type="noConversion"/>
  </si>
  <si>
    <t>­ 예금이자</t>
    <phoneticPr fontId="4" type="noConversion"/>
  </si>
  <si>
    <t xml:space="preserve">× </t>
    <phoneticPr fontId="4" type="noConversion"/>
  </si>
  <si>
    <t>=</t>
    <phoneticPr fontId="4" type="noConversion"/>
  </si>
  <si>
    <t>- 육아휴직대체인력</t>
    <phoneticPr fontId="5" type="noConversion"/>
  </si>
  <si>
    <t>- 육아휴직대체인력</t>
    <phoneticPr fontId="5" type="noConversion"/>
  </si>
  <si>
    <t>­ 전기요금</t>
    <phoneticPr fontId="5" type="noConversion"/>
  </si>
  <si>
    <t>­ 지역난방료(냉난방)</t>
    <phoneticPr fontId="5" type="noConversion"/>
  </si>
  <si>
    <t>­ 상하수도요금</t>
    <phoneticPr fontId="5" type="noConversion"/>
  </si>
  <si>
    <t>­ 복사용지</t>
    <phoneticPr fontId="5" type="noConversion"/>
  </si>
  <si>
    <t>­ 냉온정수기임차료</t>
    <phoneticPr fontId="5" type="noConversion"/>
  </si>
  <si>
    <t>­ 복합기임차료</t>
    <phoneticPr fontId="5" type="noConversion"/>
  </si>
  <si>
    <t>­ 차량임차료</t>
    <phoneticPr fontId="5" type="noConversion"/>
  </si>
  <si>
    <t xml:space="preserve">× </t>
    <phoneticPr fontId="63" type="noConversion"/>
  </si>
  <si>
    <t>=</t>
    <phoneticPr fontId="63" type="noConversion"/>
  </si>
  <si>
    <t>­ 공기청정기임차료</t>
    <phoneticPr fontId="5" type="noConversion"/>
  </si>
  <si>
    <t xml:space="preserve">× </t>
    <phoneticPr fontId="63" type="noConversion"/>
  </si>
  <si>
    <t>­ 화장실 비데임차료</t>
    <phoneticPr fontId="5" type="noConversion"/>
  </si>
  <si>
    <t>­ 냉온정수기임차료</t>
    <phoneticPr fontId="5" type="noConversion"/>
  </si>
  <si>
    <t>­ 저수조유지관리비</t>
    <phoneticPr fontId="5" type="noConversion"/>
  </si>
  <si>
    <t>- 전기안전관리대행 수수료</t>
    <phoneticPr fontId="5" type="noConversion"/>
  </si>
  <si>
    <t>­ 소방안전관리대행 수수료</t>
    <phoneticPr fontId="5" type="noConversion"/>
  </si>
  <si>
    <t>­ 전기설비유지관리비</t>
    <phoneticPr fontId="5" type="noConversion"/>
  </si>
  <si>
    <t>­ 무인경비시스템유지관리비</t>
    <phoneticPr fontId="63" type="noConversion"/>
  </si>
  <si>
    <t>- 방역소독 수수료</t>
    <phoneticPr fontId="63" type="noConversion"/>
  </si>
  <si>
    <t>­ 수질검사수수료</t>
    <phoneticPr fontId="63" type="noConversion"/>
  </si>
  <si>
    <t>=</t>
    <phoneticPr fontId="63" type="noConversion"/>
  </si>
  <si>
    <t>­ 승강기정기검사수수료</t>
    <phoneticPr fontId="63" type="noConversion"/>
  </si>
  <si>
    <t>ㅇ운영위원회</t>
    <phoneticPr fontId="5" type="noConversion"/>
  </si>
  <si>
    <t>­ 기관장간담회비</t>
    <phoneticPr fontId="5" type="noConversion"/>
  </si>
  <si>
    <t>ㅇ청소년자치동아리</t>
    <phoneticPr fontId="5" type="noConversion"/>
  </si>
  <si>
    <t>­ 동아리활동비</t>
    <phoneticPr fontId="5" type="noConversion"/>
  </si>
  <si>
    <t>=</t>
    <phoneticPr fontId="5" type="noConversion"/>
  </si>
  <si>
    <t>­ 청소년평화외교단운영</t>
    <phoneticPr fontId="5" type="noConversion"/>
  </si>
  <si>
    <t>­ 홍보비</t>
    <phoneticPr fontId="5" type="noConversion"/>
  </si>
  <si>
    <t>ㅇ고양시 청소년합의회의</t>
    <phoneticPr fontId="5" type="noConversion"/>
  </si>
  <si>
    <t>- 활동진행비</t>
    <phoneticPr fontId="5" type="noConversion"/>
  </si>
  <si>
    <t>­ 운영비(강사료,홍보비등)</t>
    <phoneticPr fontId="5" type="noConversion"/>
  </si>
  <si>
    <t>ㅇ청소년역사참여활동</t>
    <phoneticPr fontId="5" type="noConversion"/>
  </si>
  <si>
    <t>­ 국외 진행비</t>
    <phoneticPr fontId="5" type="noConversion"/>
  </si>
  <si>
    <t>­ 경비(항공료)</t>
    <phoneticPr fontId="5" type="noConversion"/>
  </si>
  <si>
    <t>ㅇ잇다프로젝트</t>
    <phoneticPr fontId="5" type="noConversion"/>
  </si>
  <si>
    <t>- 운영비(재료비 등)</t>
    <phoneticPr fontId="5" type="noConversion"/>
  </si>
  <si>
    <t>ㅇ세나길프로젝트</t>
    <phoneticPr fontId="5" type="noConversion"/>
  </si>
  <si>
    <t>- 홍보비</t>
    <phoneticPr fontId="5" type="noConversion"/>
  </si>
  <si>
    <t>ㅇ청소년운영위원회</t>
    <phoneticPr fontId="5" type="noConversion"/>
  </si>
  <si>
    <t>­ 정기활동비</t>
    <phoneticPr fontId="5" type="noConversion"/>
  </si>
  <si>
    <t>=</t>
    <phoneticPr fontId="5" type="noConversion"/>
  </si>
  <si>
    <t>­ 교류진행비</t>
    <phoneticPr fontId="5" type="noConversion"/>
  </si>
  <si>
    <t>=</t>
    <phoneticPr fontId="5" type="noConversion"/>
  </si>
  <si>
    <t>­ 교육진행비</t>
    <phoneticPr fontId="5" type="noConversion"/>
  </si>
  <si>
    <t>=</t>
    <phoneticPr fontId="5" type="noConversion"/>
  </si>
  <si>
    <t>­ 기타활동비</t>
    <phoneticPr fontId="5" type="noConversion"/>
  </si>
  <si>
    <t>­ 연합활동(발대식,워크숍,대표자회의)</t>
    <phoneticPr fontId="5" type="noConversion"/>
  </si>
  <si>
    <t>ㅇ고양형평화통일사업</t>
    <phoneticPr fontId="5" type="noConversion"/>
  </si>
  <si>
    <t>=</t>
    <phoneticPr fontId="5" type="noConversion"/>
  </si>
  <si>
    <t xml:space="preserve">ㅇ리액션(Leader-action) </t>
    <phoneticPr fontId="5" type="noConversion"/>
  </si>
  <si>
    <t>­ 역사체험</t>
    <phoneticPr fontId="5" type="noConversion"/>
  </si>
  <si>
    <t>­ 역사교육</t>
    <phoneticPr fontId="5" type="noConversion"/>
  </si>
  <si>
    <t>­ 역사캠페인</t>
    <phoneticPr fontId="5" type="noConversion"/>
  </si>
  <si>
    <t>ㅇ국가간청소년교류 MDTelecom</t>
    <phoneticPr fontId="5" type="noConversion"/>
  </si>
  <si>
    <t>­ 간식비(회의식비 등)</t>
    <phoneticPr fontId="5" type="noConversion"/>
  </si>
  <si>
    <t>ㅇReady, Set, Play! 프로젝트</t>
    <phoneticPr fontId="5" type="noConversion"/>
  </si>
  <si>
    <t>- 활동진행비</t>
    <phoneticPr fontId="5" type="noConversion"/>
  </si>
  <si>
    <t>­ 운영비(강사료,홍보비등)</t>
    <phoneticPr fontId="5" type="noConversion"/>
  </si>
  <si>
    <t>ㅇ청소년온라인국제활동 'iEARN' 프로젝트</t>
    <phoneticPr fontId="5" type="noConversion"/>
  </si>
  <si>
    <t>ㅇVoV프로젝트</t>
    <phoneticPr fontId="5" type="noConversion"/>
  </si>
  <si>
    <t>­ 운영비(강사료,홍보비등)</t>
    <phoneticPr fontId="5" type="noConversion"/>
  </si>
  <si>
    <t>ㅇ학교연계 혁신교육 'iEARN' 프로젝트</t>
    <phoneticPr fontId="5" type="noConversion"/>
  </si>
  <si>
    <t>- 강사비</t>
    <phoneticPr fontId="5" type="noConversion"/>
  </si>
  <si>
    <t>­ 사업운영비</t>
    <phoneticPr fontId="5" type="noConversion"/>
  </si>
  <si>
    <t>ㅇ청소년의달 기념행사'유.행.가.'</t>
    <phoneticPr fontId="5" type="noConversion"/>
  </si>
  <si>
    <t>- 홍보비</t>
    <phoneticPr fontId="5" type="noConversion"/>
  </si>
  <si>
    <t>­ 진행비(활동비)</t>
    <phoneticPr fontId="5" type="noConversion"/>
  </si>
  <si>
    <t>­ 진행비(간식구입 및 평가회)</t>
    <phoneticPr fontId="5" type="noConversion"/>
  </si>
  <si>
    <t>ㅇNO! 불법촬영ZONE!</t>
    <phoneticPr fontId="5" type="noConversion"/>
  </si>
  <si>
    <t>­ 정기활동비</t>
    <phoneticPr fontId="5" type="noConversion"/>
  </si>
  <si>
    <t>=</t>
    <phoneticPr fontId="5" type="noConversion"/>
  </si>
  <si>
    <t>­ 운영비(강사료,홍보비등)</t>
    <phoneticPr fontId="5" type="noConversion"/>
  </si>
  <si>
    <t>ㅇ=(equal) 성평등프로젝트</t>
    <phoneticPr fontId="5" type="noConversion"/>
  </si>
  <si>
    <t>- 활동진행비</t>
    <phoneticPr fontId="5" type="noConversion"/>
  </si>
  <si>
    <t>ㅇ대학생지원단'아띠'</t>
    <phoneticPr fontId="5" type="noConversion"/>
  </si>
  <si>
    <t>­ 진행비(활동비,강사료 등)</t>
    <phoneticPr fontId="5" type="noConversion"/>
  </si>
  <si>
    <t>­ 진행비(간식구입 및 평가회)</t>
    <phoneticPr fontId="5" type="noConversion"/>
  </si>
  <si>
    <t xml:space="preserve">ㅇ문화ZONE </t>
    <phoneticPr fontId="5" type="noConversion"/>
  </si>
  <si>
    <t>­ 스포츠페스티벌</t>
    <phoneticPr fontId="5" type="noConversion"/>
  </si>
  <si>
    <t>­ 마을축제</t>
    <phoneticPr fontId="5" type="noConversion"/>
  </si>
  <si>
    <t>­ OPEN무대</t>
    <phoneticPr fontId="5" type="noConversion"/>
  </si>
  <si>
    <t>ㅇ기간제인건비</t>
    <phoneticPr fontId="5" type="noConversion"/>
  </si>
  <si>
    <t>­ 휘트니스강사</t>
  </si>
  <si>
    <t>­ 청소년카페(평일)</t>
    <phoneticPr fontId="5" type="noConversion"/>
  </si>
  <si>
    <t>­ 청소년카페(토요일)</t>
    <phoneticPr fontId="5" type="noConversion"/>
  </si>
  <si>
    <t>­ 보안</t>
  </si>
  <si>
    <t>­ 미화</t>
  </si>
  <si>
    <t>­ 안내</t>
    <phoneticPr fontId="5" type="noConversion"/>
  </si>
  <si>
    <t>­ 퇴직금</t>
  </si>
  <si>
    <t>200 경비</t>
    <phoneticPr fontId="5" type="noConversion"/>
  </si>
  <si>
    <t>ㅇ급량비</t>
    <phoneticPr fontId="5" type="noConversion"/>
  </si>
  <si>
    <t>­ 특근매식비</t>
    <phoneticPr fontId="63" type="noConversion"/>
  </si>
  <si>
    <t>­ 국외업무여비</t>
  </si>
  <si>
    <t>ㅇ제세공과금</t>
    <phoneticPr fontId="5" type="noConversion"/>
  </si>
  <si>
    <t>­ 부가가치세</t>
  </si>
  <si>
    <t xml:space="preserve">× </t>
    <phoneticPr fontId="63" type="noConversion"/>
  </si>
  <si>
    <t>ㅇ사무용품비</t>
    <phoneticPr fontId="5" type="noConversion"/>
  </si>
  <si>
    <t>­ 공용사무용품비</t>
    <phoneticPr fontId="5" type="noConversion"/>
  </si>
  <si>
    <t xml:space="preserve">× </t>
    <phoneticPr fontId="63" type="noConversion"/>
  </si>
  <si>
    <t>ㅇ피복비</t>
    <phoneticPr fontId="4" type="noConversion"/>
  </si>
  <si>
    <t>­ 직원피복비(미화, 보안, 안내데스크)</t>
    <phoneticPr fontId="4" type="noConversion"/>
  </si>
  <si>
    <t>­ 자료인쇄비</t>
    <phoneticPr fontId="5" type="noConversion"/>
  </si>
  <si>
    <t>ㅇ 시책추진업무추진비</t>
    <phoneticPr fontId="5" type="noConversion"/>
  </si>
  <si>
    <t>­ 시책추진업무추진비</t>
    <phoneticPr fontId="5" type="noConversion"/>
  </si>
  <si>
    <t xml:space="preserve">× </t>
    <phoneticPr fontId="63" type="noConversion"/>
  </si>
  <si>
    <t>ㅇ 부서운영업무추진비</t>
    <phoneticPr fontId="5" type="noConversion"/>
  </si>
  <si>
    <t>ㅇ 정원가산업무추진비</t>
    <phoneticPr fontId="5" type="noConversion"/>
  </si>
  <si>
    <t>­ 정원가산업무추진비</t>
    <phoneticPr fontId="5" type="noConversion"/>
  </si>
  <si>
    <t>ㅇ교육훈련비</t>
    <phoneticPr fontId="63" type="noConversion"/>
  </si>
  <si>
    <t>­ 시설직원교육지원비</t>
    <phoneticPr fontId="63" type="noConversion"/>
  </si>
  <si>
    <t xml:space="preserve">× </t>
    <phoneticPr fontId="63" type="noConversion"/>
  </si>
  <si>
    <t>ㅇ워크숍</t>
    <phoneticPr fontId="63" type="noConversion"/>
  </si>
  <si>
    <t>405 자산취득비</t>
    <phoneticPr fontId="63" type="noConversion"/>
  </si>
  <si>
    <t>731 직영사업비</t>
  </si>
  <si>
    <t>ㅇ국가간청소년교류 MDTelecom</t>
    <phoneticPr fontId="5" type="noConversion"/>
  </si>
  <si>
    <t>- 캠프경비</t>
    <phoneticPr fontId="5" type="noConversion"/>
  </si>
  <si>
    <t>=</t>
    <phoneticPr fontId="5" type="noConversion"/>
  </si>
  <si>
    <t>­ 국내 진행비</t>
    <phoneticPr fontId="5" type="noConversion"/>
  </si>
  <si>
    <t>ㅇ청소년 국제교류캠프</t>
    <phoneticPr fontId="5" type="noConversion"/>
  </si>
  <si>
    <t>- 항공료 및 체류비</t>
    <phoneticPr fontId="5" type="noConversion"/>
  </si>
  <si>
    <t>- 기타운영비(홍보및운영 둥)</t>
    <phoneticPr fontId="5" type="noConversion"/>
  </si>
  <si>
    <t>ㅇ청소년동아리 열린공간 운영</t>
    <phoneticPr fontId="5" type="noConversion"/>
  </si>
  <si>
    <t>- 열린공간 유지보수</t>
    <phoneticPr fontId="5" type="noConversion"/>
  </si>
  <si>
    <t>ㅇ청소년카페 운영</t>
    <phoneticPr fontId="5" type="noConversion"/>
  </si>
  <si>
    <t xml:space="preserve">   - 식자재구입비</t>
    <phoneticPr fontId="63" type="noConversion"/>
  </si>
  <si>
    <t xml:space="preserve">   - 기타운영비</t>
    <phoneticPr fontId="63" type="noConversion"/>
  </si>
  <si>
    <t>ㅇ교육활동프로그램(청소년)</t>
    <phoneticPr fontId="5" type="noConversion"/>
  </si>
  <si>
    <t xml:space="preserve">   - 강사료</t>
    <phoneticPr fontId="4" type="noConversion"/>
  </si>
  <si>
    <t xml:space="preserve">   - 발표및전시회</t>
    <phoneticPr fontId="4" type="noConversion"/>
  </si>
  <si>
    <t xml:space="preserve">   - 강사간담회운영비</t>
    <phoneticPr fontId="4" type="noConversion"/>
  </si>
  <si>
    <t xml:space="preserve">× </t>
    <phoneticPr fontId="4" type="noConversion"/>
  </si>
  <si>
    <t xml:space="preserve">   - 카드수수료</t>
    <phoneticPr fontId="4" type="noConversion"/>
  </si>
  <si>
    <t xml:space="preserve">   - 프로그램유지관리비</t>
    <phoneticPr fontId="4" type="noConversion"/>
  </si>
  <si>
    <t>ㅇ학교연계사업</t>
    <phoneticPr fontId="5" type="noConversion"/>
  </si>
  <si>
    <t>­ 강사료(자유학기제)</t>
    <phoneticPr fontId="5" type="noConversion"/>
  </si>
  <si>
    <t>­ 운영비(자유학기제)</t>
    <phoneticPr fontId="5" type="noConversion"/>
  </si>
  <si>
    <t>­ 강사료(창의적체험활동)</t>
    <phoneticPr fontId="5" type="noConversion"/>
  </si>
  <si>
    <t>­ 운영비(창의적체험활동)</t>
    <phoneticPr fontId="5" type="noConversion"/>
  </si>
  <si>
    <t>ㅇ프로젝트형 학교연계사업</t>
    <phoneticPr fontId="5" type="noConversion"/>
  </si>
  <si>
    <t>ㅇ홍보사업</t>
    <phoneticPr fontId="5" type="noConversion"/>
  </si>
  <si>
    <t>ㅇ교육활동프로그램</t>
    <phoneticPr fontId="5" type="noConversion"/>
  </si>
  <si>
    <t>ㅇ대관사업</t>
    <phoneticPr fontId="5" type="noConversion"/>
  </si>
  <si>
    <t>- 대관시설 유지보수</t>
    <phoneticPr fontId="5" type="noConversion"/>
  </si>
  <si>
    <t>ㅇ청소년카페 문화예술프로그램</t>
    <phoneticPr fontId="5" type="noConversion"/>
  </si>
  <si>
    <t>- 강사비</t>
    <phoneticPr fontId="5" type="noConversion"/>
  </si>
  <si>
    <t>ㅇ이자반환금(과년도)</t>
  </si>
  <si>
    <t>ㅇ차기년도이월금</t>
    <phoneticPr fontId="5" type="noConversion"/>
  </si>
  <si>
    <t>­ 차기년도이월금</t>
  </si>
  <si>
    <t>ㅇ기간제근로자 보수</t>
    <phoneticPr fontId="4" type="noConversion"/>
  </si>
  <si>
    <t>­ 기간제근로자 보수</t>
    <phoneticPr fontId="4" type="noConversion"/>
  </si>
  <si>
    <t xml:space="preserve">× </t>
    <phoneticPr fontId="4" type="noConversion"/>
  </si>
  <si>
    <t>ㅇ사회4대보험</t>
    <phoneticPr fontId="4" type="noConversion"/>
  </si>
  <si>
    <t>­ 국민건강보험부담금</t>
    <phoneticPr fontId="4" type="noConversion"/>
  </si>
  <si>
    <t xml:space="preserve">× </t>
    <phoneticPr fontId="4" type="noConversion"/>
  </si>
  <si>
    <t>=</t>
    <phoneticPr fontId="4" type="noConversion"/>
  </si>
  <si>
    <t>­ 장기요양보험부담금</t>
    <phoneticPr fontId="4" type="noConversion"/>
  </si>
  <si>
    <t>­ 고용보험부담금</t>
    <phoneticPr fontId="4" type="noConversion"/>
  </si>
  <si>
    <t>­ 산재보험부담금</t>
    <phoneticPr fontId="4" type="noConversion"/>
  </si>
  <si>
    <t>­ 특근매식비</t>
    <phoneticPr fontId="4" type="noConversion"/>
  </si>
  <si>
    <t>ㅇ직원복지제도</t>
    <phoneticPr fontId="4" type="noConversion"/>
  </si>
  <si>
    <t>­ 선택적복지제도</t>
    <phoneticPr fontId="4" type="noConversion"/>
  </si>
  <si>
    <t>­ 직원건강검진</t>
    <phoneticPr fontId="4" type="noConversion"/>
  </si>
  <si>
    <t>=</t>
    <phoneticPr fontId="4" type="noConversion"/>
  </si>
  <si>
    <t>ㅇ통신비</t>
    <phoneticPr fontId="4" type="noConversion"/>
  </si>
  <si>
    <t>­ SMS 전송비</t>
    <phoneticPr fontId="4" type="noConversion"/>
  </si>
  <si>
    <t>=</t>
    <phoneticPr fontId="4" type="noConversion"/>
  </si>
  <si>
    <t>ㅇ사무용품비</t>
    <phoneticPr fontId="4" type="noConversion"/>
  </si>
  <si>
    <t>­ 소프트웨어 구입비</t>
    <phoneticPr fontId="4" type="noConversion"/>
  </si>
  <si>
    <t>­ 사무용품비</t>
    <phoneticPr fontId="4" type="noConversion"/>
  </si>
  <si>
    <t>ㅇ사무실운영경비</t>
    <phoneticPr fontId="4" type="noConversion"/>
  </si>
  <si>
    <t>­ 청소용품구입비</t>
    <phoneticPr fontId="4" type="noConversion"/>
  </si>
  <si>
    <t>ㅇ도서인쇄비</t>
    <phoneticPr fontId="4" type="noConversion"/>
  </si>
  <si>
    <t>­ 정기간행물 및 업무용도서구입비</t>
    <phoneticPr fontId="4" type="noConversion"/>
  </si>
  <si>
    <t>=</t>
    <phoneticPr fontId="4" type="noConversion"/>
  </si>
  <si>
    <t>ㅇ지급임차료</t>
    <phoneticPr fontId="4" type="noConversion"/>
  </si>
  <si>
    <t>­ 복합기임차료</t>
    <phoneticPr fontId="4" type="noConversion"/>
  </si>
  <si>
    <t>=</t>
    <phoneticPr fontId="4" type="noConversion"/>
  </si>
  <si>
    <t>­ 공기청정기임차료</t>
    <phoneticPr fontId="4" type="noConversion"/>
  </si>
  <si>
    <t>ㅇ수선유지비</t>
    <phoneticPr fontId="4" type="noConversion"/>
  </si>
  <si>
    <t>­ PC유지관리비</t>
    <phoneticPr fontId="4" type="noConversion"/>
  </si>
  <si>
    <t>ㅇ지급수수료</t>
    <phoneticPr fontId="4" type="noConversion"/>
  </si>
  <si>
    <t>­ 무인경비시스템유지관리비</t>
    <phoneticPr fontId="4" type="noConversion"/>
  </si>
  <si>
    <t>­ 부서운영업무추진비</t>
    <phoneticPr fontId="4" type="noConversion"/>
  </si>
  <si>
    <t xml:space="preserve">× </t>
    <phoneticPr fontId="4" type="noConversion"/>
  </si>
  <si>
    <t>­ 정원가산업무추진비</t>
    <phoneticPr fontId="4" type="noConversion"/>
  </si>
  <si>
    <t>=</t>
    <phoneticPr fontId="4" type="noConversion"/>
  </si>
  <si>
    <t>ㅇ위탁교육비</t>
    <phoneticPr fontId="4" type="noConversion"/>
  </si>
  <si>
    <t>­ 직원교육지원비</t>
    <phoneticPr fontId="4" type="noConversion"/>
  </si>
  <si>
    <t>ㅇ워크숍</t>
    <phoneticPr fontId="4" type="noConversion"/>
  </si>
  <si>
    <t>­ 직원워크숍</t>
    <phoneticPr fontId="4" type="noConversion"/>
  </si>
  <si>
    <t>ㅇ홍보물 제작</t>
    <phoneticPr fontId="4" type="noConversion"/>
  </si>
  <si>
    <t>­ 인쇄물제작</t>
    <phoneticPr fontId="4" type="noConversion"/>
  </si>
  <si>
    <t xml:space="preserve">­ 현수막, 포스터, 베너 등 </t>
    <phoneticPr fontId="4" type="noConversion"/>
  </si>
  <si>
    <t>­ 사무용가구 및 컴퓨터 구입</t>
    <phoneticPr fontId="4" type="noConversion"/>
  </si>
  <si>
    <t>ㅇ이자반환금(과년도)</t>
    <phoneticPr fontId="4" type="noConversion"/>
  </si>
  <si>
    <t>­ 예금이자</t>
    <phoneticPr fontId="4" type="noConversion"/>
  </si>
  <si>
    <t xml:space="preserve">× </t>
    <phoneticPr fontId="4" type="noConversion"/>
  </si>
  <si>
    <t>­ 퇴직급여충당금(방과후)</t>
    <phoneticPr fontId="5" type="noConversion"/>
  </si>
  <si>
    <t>­ 퇴직급여충당금(배치)</t>
    <phoneticPr fontId="5" type="noConversion"/>
  </si>
  <si>
    <t>- 명절휴가비</t>
    <phoneticPr fontId="5" type="noConversion"/>
  </si>
  <si>
    <t>­ 특근매식비</t>
    <phoneticPr fontId="5" type="noConversion"/>
  </si>
  <si>
    <t xml:space="preserve">× </t>
    <phoneticPr fontId="5" type="noConversion"/>
  </si>
  <si>
    <t>­ 우편물, SMS, 택배 발송비</t>
    <phoneticPr fontId="5" type="noConversion"/>
  </si>
  <si>
    <t>­ 전화 사용료</t>
    <phoneticPr fontId="5" type="noConversion"/>
  </si>
  <si>
    <t xml:space="preserve">× </t>
    <phoneticPr fontId="5" type="noConversion"/>
  </si>
  <si>
    <t>­ 인터넷 사용료</t>
    <phoneticPr fontId="5" type="noConversion"/>
  </si>
  <si>
    <t>- UTM 보안</t>
    <phoneticPr fontId="5" type="noConversion"/>
  </si>
  <si>
    <t>­  수도, 전기 등 관리비</t>
    <phoneticPr fontId="5" type="noConversion"/>
  </si>
  <si>
    <t>- 사무용 소프트웨어 구입</t>
    <phoneticPr fontId="5" type="noConversion"/>
  </si>
  <si>
    <t>­ 전산소모물품 구입</t>
    <phoneticPr fontId="5" type="noConversion"/>
  </si>
  <si>
    <t>ㅇ소모품비</t>
    <phoneticPr fontId="5" type="noConversion"/>
  </si>
  <si>
    <t>­ 직원피복비</t>
    <phoneticPr fontId="5" type="noConversion"/>
  </si>
  <si>
    <t>­ 사업보고서 제작</t>
    <phoneticPr fontId="5" type="noConversion"/>
  </si>
  <si>
    <t>­ 공기청정기 임차료</t>
    <phoneticPr fontId="5" type="noConversion"/>
  </si>
  <si>
    <t>­ 공간환경개선</t>
    <phoneticPr fontId="5" type="noConversion"/>
  </si>
  <si>
    <t>­ 각종유지보수 및 관리비</t>
    <phoneticPr fontId="5" type="noConversion"/>
  </si>
  <si>
    <t>­ 무인경비용역</t>
    <phoneticPr fontId="5" type="noConversion"/>
  </si>
  <si>
    <t>ㅇ 교육훈련비</t>
    <phoneticPr fontId="5" type="noConversion"/>
  </si>
  <si>
    <t>­ 직원교육지원비</t>
    <phoneticPr fontId="5" type="noConversion"/>
  </si>
  <si>
    <t>ㅇ워크숍</t>
    <phoneticPr fontId="5" type="noConversion"/>
  </si>
  <si>
    <t>­ 직원 워크숍</t>
    <phoneticPr fontId="5" type="noConversion"/>
  </si>
  <si>
    <t>ㅇ홍보물품제작</t>
    <phoneticPr fontId="5" type="noConversion"/>
  </si>
  <si>
    <t>­ 홍보물품 제작</t>
    <phoneticPr fontId="5" type="noConversion"/>
  </si>
  <si>
    <t>­ 시설리플릿 제작</t>
    <phoneticPr fontId="5" type="noConversion"/>
  </si>
  <si>
    <t>ㅇ자산취득비</t>
    <phoneticPr fontId="5" type="noConversion"/>
  </si>
  <si>
    <t>ㅇ청소년운영위원회</t>
    <phoneticPr fontId="5" type="noConversion"/>
  </si>
  <si>
    <t>ㅇ청소년동아리</t>
    <phoneticPr fontId="5" type="noConversion"/>
  </si>
  <si>
    <t>­ 청소년미디어문화홍보단</t>
    <phoneticPr fontId="5" type="noConversion"/>
  </si>
  <si>
    <t xml:space="preserve">   - 청소년송년행사</t>
    <phoneticPr fontId="5" type="noConversion"/>
  </si>
  <si>
    <t>ㅇ시설운영간담회</t>
    <phoneticPr fontId="5" type="noConversion"/>
  </si>
  <si>
    <t>ㅇ봉사활동프로그램</t>
    <phoneticPr fontId="5" type="noConversion"/>
  </si>
  <si>
    <t>ㅇ자유공간사업</t>
    <phoneticPr fontId="5" type="noConversion"/>
  </si>
  <si>
    <t>ㅇ국제활동가프로젝트</t>
    <phoneticPr fontId="5" type="noConversion"/>
  </si>
  <si>
    <t>ㅇ청소년글로컬캠프</t>
    <phoneticPr fontId="5" type="noConversion"/>
  </si>
  <si>
    <t>ㅇ청소년메이커프로그램</t>
    <phoneticPr fontId="5" type="noConversion"/>
  </si>
  <si>
    <t>ㅇ진로캠프</t>
    <phoneticPr fontId="5" type="noConversion"/>
  </si>
  <si>
    <t>ㅇ청소년캠페인</t>
    <phoneticPr fontId="5" type="noConversion"/>
  </si>
  <si>
    <t>ㅇ여행지원사업</t>
    <phoneticPr fontId="5" type="noConversion"/>
  </si>
  <si>
    <t>­ 체험활동비</t>
    <phoneticPr fontId="5" type="noConversion"/>
  </si>
  <si>
    <t>ㅇ권리홍보프로젝트</t>
    <phoneticPr fontId="5" type="noConversion"/>
  </si>
  <si>
    <t>ㅇ동아리네트워킹</t>
    <phoneticPr fontId="5" type="noConversion"/>
  </si>
  <si>
    <t>­ 진행비</t>
    <phoneticPr fontId="5" type="noConversion"/>
  </si>
  <si>
    <t>ㅇ지역사회변화프로젝트</t>
    <phoneticPr fontId="5" type="noConversion"/>
  </si>
  <si>
    <t>ㅇ지역소통프로그램</t>
    <phoneticPr fontId="5" type="noConversion"/>
  </si>
  <si>
    <t>­ 문화데이웬걸</t>
    <phoneticPr fontId="5" type="noConversion"/>
  </si>
  <si>
    <t>ㅇ문화의집연합</t>
    <phoneticPr fontId="5" type="noConversion"/>
  </si>
  <si>
    <t>ㅇ홍보사업</t>
    <phoneticPr fontId="5" type="noConversion"/>
  </si>
  <si>
    <t>­ 제작비</t>
    <phoneticPr fontId="5" type="noConversion"/>
  </si>
  <si>
    <t>ㅇ성사창의체험학교</t>
    <phoneticPr fontId="5" type="noConversion"/>
  </si>
  <si>
    <t>ㅇ스포츠여가프로그램</t>
    <phoneticPr fontId="5" type="noConversion"/>
  </si>
  <si>
    <t>­ 시책추진업무추진비</t>
    <phoneticPr fontId="5" type="noConversion"/>
  </si>
  <si>
    <t>­ 부서운영업무추진비</t>
    <phoneticPr fontId="5" type="noConversion"/>
  </si>
  <si>
    <t>ㅇ 정원가산업무추진비</t>
    <phoneticPr fontId="5" type="noConversion"/>
  </si>
  <si>
    <t>­ 정원가산업무추진비</t>
    <phoneticPr fontId="5" type="noConversion"/>
  </si>
  <si>
    <t>ㅇ국제활동가프로젝트</t>
    <phoneticPr fontId="5" type="noConversion"/>
  </si>
  <si>
    <t>731-2 청소년 보호와 안전</t>
    <phoneticPr fontId="5" type="noConversion"/>
  </si>
  <si>
    <t>ㅇ학교연계사업</t>
    <phoneticPr fontId="5" type="noConversion"/>
  </si>
  <si>
    <t>­ 강사비</t>
    <phoneticPr fontId="5" type="noConversion"/>
  </si>
  <si>
    <t>ㅇ차기년도이월금</t>
  </si>
  <si>
    <t>­ 이월금</t>
  </si>
  <si>
    <t>ㅇ기본급</t>
    <phoneticPr fontId="5" type="noConversion"/>
  </si>
  <si>
    <t>ㅇ급량비</t>
    <phoneticPr fontId="5" type="noConversion"/>
  </si>
  <si>
    <t>ㅇ명절휴가비</t>
    <phoneticPr fontId="5" type="noConversion"/>
  </si>
  <si>
    <t>- 명절휴가비</t>
    <phoneticPr fontId="5" type="noConversion"/>
  </si>
  <si>
    <t>ㅇ연가보상비</t>
    <phoneticPr fontId="5" type="noConversion"/>
  </si>
  <si>
    <t>ㅇ퇴직급여충당금</t>
    <phoneticPr fontId="5" type="noConversion"/>
  </si>
  <si>
    <t>ㅇ사회4대보험</t>
    <phoneticPr fontId="5" type="noConversion"/>
  </si>
  <si>
    <t>­ 국민연금부담금</t>
    <phoneticPr fontId="4" type="noConversion"/>
  </si>
  <si>
    <t xml:space="preserve">× </t>
    <phoneticPr fontId="4" type="noConversion"/>
  </si>
  <si>
    <t>=</t>
    <phoneticPr fontId="4" type="noConversion"/>
  </si>
  <si>
    <t>­ 국민건강보험부담금</t>
    <phoneticPr fontId="4" type="noConversion"/>
  </si>
  <si>
    <t>=</t>
    <phoneticPr fontId="4" type="noConversion"/>
  </si>
  <si>
    <t>ㅇ발송비</t>
    <phoneticPr fontId="5" type="noConversion"/>
  </si>
  <si>
    <t>­ 우편물,택배 발송비</t>
    <phoneticPr fontId="4" type="noConversion"/>
  </si>
  <si>
    <t>ㅇ통신비</t>
    <phoneticPr fontId="5" type="noConversion"/>
  </si>
  <si>
    <t>­ 전화 인터넷 사용료</t>
    <phoneticPr fontId="4" type="noConversion"/>
  </si>
  <si>
    <t>ㅇ협회비및부담금</t>
    <phoneticPr fontId="5" type="noConversion"/>
  </si>
  <si>
    <t>­ 청소년시설협회비</t>
    <phoneticPr fontId="4" type="noConversion"/>
  </si>
  <si>
    <t>ㅇ제세공과금</t>
    <phoneticPr fontId="5" type="noConversion"/>
  </si>
  <si>
    <t>­ 각종세금</t>
    <phoneticPr fontId="4" type="noConversion"/>
  </si>
  <si>
    <t>ㅇ수도광열비</t>
    <phoneticPr fontId="5" type="noConversion"/>
  </si>
  <si>
    <t>ㅇ사무용품비</t>
    <phoneticPr fontId="5" type="noConversion"/>
  </si>
  <si>
    <t>ㅇ청소용품비</t>
    <phoneticPr fontId="5" type="noConversion"/>
  </si>
  <si>
    <t>­ 청소 및 위생용 소모품비</t>
    <phoneticPr fontId="5" type="noConversion"/>
  </si>
  <si>
    <t>ㅇ약품구입비</t>
    <phoneticPr fontId="5" type="noConversion"/>
  </si>
  <si>
    <t>­비상약품</t>
    <phoneticPr fontId="5" type="noConversion"/>
  </si>
  <si>
    <t>ㅇ청소년운영위원회</t>
    <phoneticPr fontId="5" type="noConversion"/>
  </si>
  <si>
    <t>ㅇ청소년자치동아리 운영</t>
    <phoneticPr fontId="5" type="noConversion"/>
  </si>
  <si>
    <t>­ 자치동아리 운영비</t>
    <phoneticPr fontId="5" type="noConversion"/>
  </si>
  <si>
    <t>- 자치동아리 물품구입비</t>
    <phoneticPr fontId="5" type="noConversion"/>
  </si>
  <si>
    <t>- 자치동아리 교육비</t>
    <phoneticPr fontId="5" type="noConversion"/>
  </si>
  <si>
    <t>- 동아리 연합회의</t>
    <phoneticPr fontId="5" type="noConversion"/>
  </si>
  <si>
    <t>- 동아리 연합캠프 숙식비</t>
    <phoneticPr fontId="5" type="noConversion"/>
  </si>
  <si>
    <t>- 동아리 연합캠프 프로그램비</t>
    <phoneticPr fontId="5" type="noConversion"/>
  </si>
  <si>
    <t>- 동아리 연합캠프 전세버스 대절비</t>
    <phoneticPr fontId="5" type="noConversion"/>
  </si>
  <si>
    <t>ㅇ청소년 북카페 운영</t>
    <phoneticPr fontId="5" type="noConversion"/>
  </si>
  <si>
    <t>­ 물품구입비(도서, 보드게임 등)</t>
    <phoneticPr fontId="5" type="noConversion"/>
  </si>
  <si>
    <t>- 마일리지 시스템 구축비</t>
    <phoneticPr fontId="5" type="noConversion"/>
  </si>
  <si>
    <t>- 마일리지 이벤트 진행비</t>
    <phoneticPr fontId="5" type="noConversion"/>
  </si>
  <si>
    <t>- 운영비</t>
    <phoneticPr fontId="5" type="noConversion"/>
  </si>
  <si>
    <t>- 해외활동비</t>
    <phoneticPr fontId="5" type="noConversion"/>
  </si>
  <si>
    <t>ㅇ직원복지</t>
    <phoneticPr fontId="5" type="noConversion"/>
  </si>
  <si>
    <t>­ 직원종합건강검진</t>
    <phoneticPr fontId="4" type="noConversion"/>
  </si>
  <si>
    <t>­ 선택적복지제도</t>
    <phoneticPr fontId="4" type="noConversion"/>
  </si>
  <si>
    <t>ㅇ급량비</t>
    <phoneticPr fontId="5" type="noConversion"/>
  </si>
  <si>
    <t>ㅇ여비</t>
    <phoneticPr fontId="5" type="noConversion"/>
  </si>
  <si>
    <t>­ 국내여비</t>
    <phoneticPr fontId="4" type="noConversion"/>
  </si>
  <si>
    <t>­ 국외여비</t>
    <phoneticPr fontId="4" type="noConversion"/>
  </si>
  <si>
    <t>ㅇ도서인쇄비</t>
    <phoneticPr fontId="5" type="noConversion"/>
  </si>
  <si>
    <t>­ 정기간행물 및 업무용도서구입비</t>
    <phoneticPr fontId="4" type="noConversion"/>
  </si>
  <si>
    <t>­ 사업보고서 및 리플릿 제작</t>
    <phoneticPr fontId="4" type="noConversion"/>
  </si>
  <si>
    <t>ㅇ지급임차료</t>
    <phoneticPr fontId="5" type="noConversion"/>
  </si>
  <si>
    <t>­ 복합기임차료</t>
    <phoneticPr fontId="4" type="noConversion"/>
  </si>
  <si>
    <t>­ 냉온정수기임차료</t>
    <phoneticPr fontId="4" type="noConversion"/>
  </si>
  <si>
    <t xml:space="preserve">× </t>
    <phoneticPr fontId="4" type="noConversion"/>
  </si>
  <si>
    <t>ㅇ수선유지비</t>
    <phoneticPr fontId="5" type="noConversion"/>
  </si>
  <si>
    <t>­ 기계냉난방기유지관리비</t>
    <phoneticPr fontId="4" type="noConversion"/>
  </si>
  <si>
    <t xml:space="preserve">× </t>
    <phoneticPr fontId="4" type="noConversion"/>
  </si>
  <si>
    <t>=</t>
    <phoneticPr fontId="4" type="noConversion"/>
  </si>
  <si>
    <t>­ 건축설비유지관리비</t>
    <phoneticPr fontId="4" type="noConversion"/>
  </si>
  <si>
    <t xml:space="preserve">× </t>
    <phoneticPr fontId="4" type="noConversion"/>
  </si>
  <si>
    <t>­ PC유지관리비</t>
    <phoneticPr fontId="4" type="noConversion"/>
  </si>
  <si>
    <t>=</t>
    <phoneticPr fontId="4" type="noConversion"/>
  </si>
  <si>
    <t>­ 전기설비유지관리비</t>
    <phoneticPr fontId="4" type="noConversion"/>
  </si>
  <si>
    <t>=</t>
    <phoneticPr fontId="4" type="noConversion"/>
  </si>
  <si>
    <t>­ 소방유지관리비</t>
    <phoneticPr fontId="4" type="noConversion"/>
  </si>
  <si>
    <t xml:space="preserve">× </t>
    <phoneticPr fontId="4" type="noConversion"/>
  </si>
  <si>
    <t>ㅇ보험료</t>
    <phoneticPr fontId="5" type="noConversion"/>
  </si>
  <si>
    <t>­ 수련시설종합보험료</t>
    <phoneticPr fontId="4" type="noConversion"/>
  </si>
  <si>
    <t>­ 이행보증보험</t>
    <phoneticPr fontId="4" type="noConversion"/>
  </si>
  <si>
    <t>ㅇ지급수수료</t>
    <phoneticPr fontId="5" type="noConversion"/>
  </si>
  <si>
    <t>­ 무인경비시스템유지관리비</t>
    <phoneticPr fontId="4" type="noConversion"/>
  </si>
  <si>
    <t>=</t>
    <phoneticPr fontId="4" type="noConversion"/>
  </si>
  <si>
    <t>­ 각종수수료</t>
    <phoneticPr fontId="4" type="noConversion"/>
  </si>
  <si>
    <t>ㅇ시책추진업무추진비</t>
    <phoneticPr fontId="5" type="noConversion"/>
  </si>
  <si>
    <t>­ 시책추진업무추진비</t>
    <phoneticPr fontId="5" type="noConversion"/>
  </si>
  <si>
    <t>ㅇ부서운영업무추진비</t>
    <phoneticPr fontId="5" type="noConversion"/>
  </si>
  <si>
    <t>­ 부서운영업무추진비</t>
    <phoneticPr fontId="4" type="noConversion"/>
  </si>
  <si>
    <t xml:space="preserve">× </t>
    <phoneticPr fontId="4" type="noConversion"/>
  </si>
  <si>
    <t>ㅇ정원가산업무추진비</t>
    <phoneticPr fontId="5" type="noConversion"/>
  </si>
  <si>
    <t>­ 정원가산업무추진비</t>
    <phoneticPr fontId="4" type="noConversion"/>
  </si>
  <si>
    <t xml:space="preserve">× </t>
    <phoneticPr fontId="4" type="noConversion"/>
  </si>
  <si>
    <t>­ 직원교육지원비</t>
    <phoneticPr fontId="4" type="noConversion"/>
  </si>
  <si>
    <t>ㅇ재료비기타</t>
    <phoneticPr fontId="5" type="noConversion"/>
  </si>
  <si>
    <t>­ 시설공구구입</t>
    <phoneticPr fontId="4" type="noConversion"/>
  </si>
  <si>
    <t>­ 시설재료구입</t>
    <phoneticPr fontId="4" type="noConversion"/>
  </si>
  <si>
    <t xml:space="preserve">× </t>
    <phoneticPr fontId="4" type="noConversion"/>
  </si>
  <si>
    <t>­ 안전재료구입</t>
    <phoneticPr fontId="4" type="noConversion"/>
  </si>
  <si>
    <t>­ 기타 운영물품 구입</t>
    <phoneticPr fontId="4" type="noConversion"/>
  </si>
  <si>
    <t>ㅇ자산취득비</t>
    <phoneticPr fontId="5" type="noConversion"/>
  </si>
  <si>
    <t xml:space="preserve"> 405 자산취득비</t>
    <phoneticPr fontId="5" type="noConversion"/>
  </si>
  <si>
    <t xml:space="preserve"> 731 직영사업비</t>
    <phoneticPr fontId="5" type="noConversion"/>
  </si>
  <si>
    <t>ㅇ청소년 제안사업</t>
    <phoneticPr fontId="5" type="noConversion"/>
  </si>
  <si>
    <t>- 청소년 제안사업 운영</t>
    <phoneticPr fontId="5" type="noConversion"/>
  </si>
  <si>
    <t>- 청소년 주제 공모사업 운영</t>
    <phoneticPr fontId="5" type="noConversion"/>
  </si>
  <si>
    <t>ㅇ청소년 자원봉사활동 운영</t>
    <phoneticPr fontId="5" type="noConversion"/>
  </si>
  <si>
    <t>- 봉사물품구입</t>
    <phoneticPr fontId="5" type="noConversion"/>
  </si>
  <si>
    <t>ㅇ교육문화프로그램(청소년)</t>
    <phoneticPr fontId="5" type="noConversion"/>
  </si>
  <si>
    <t>- 강사간담회</t>
    <phoneticPr fontId="5" type="noConversion"/>
  </si>
  <si>
    <t>- 회원관리프로그램이용비</t>
    <phoneticPr fontId="5" type="noConversion"/>
  </si>
  <si>
    <t>- 카드수수료</t>
    <phoneticPr fontId="5" type="noConversion"/>
  </si>
  <si>
    <t>- 프로그램 운영 물품</t>
    <phoneticPr fontId="5" type="noConversion"/>
  </si>
  <si>
    <t>- 방학특강 재료비</t>
    <phoneticPr fontId="5" type="noConversion"/>
  </si>
  <si>
    <t>- 홍보비</t>
    <phoneticPr fontId="5" type="noConversion"/>
  </si>
  <si>
    <t>- SMS 발송비</t>
    <phoneticPr fontId="5" type="noConversion"/>
  </si>
  <si>
    <t>- 별빛학당 발표회</t>
    <phoneticPr fontId="5" type="noConversion"/>
  </si>
  <si>
    <t>- 해외활동비(항공권구입 등)</t>
    <phoneticPr fontId="5" type="noConversion"/>
  </si>
  <si>
    <t>=</t>
    <phoneticPr fontId="4" type="noConversion"/>
  </si>
  <si>
    <t>ㅇ길 놀이 조성 프로젝트</t>
    <phoneticPr fontId="5" type="noConversion"/>
  </si>
  <si>
    <t>- 길 놀이 조성비</t>
    <phoneticPr fontId="5" type="noConversion"/>
  </si>
  <si>
    <t>- 진행비(공모전, 플리마켓 등)</t>
    <phoneticPr fontId="5" type="noConversion"/>
  </si>
  <si>
    <t>- 회의비(사업설명회)</t>
    <phoneticPr fontId="5" type="noConversion"/>
  </si>
  <si>
    <t>ㅇ교육문화프로그램(성인)</t>
    <phoneticPr fontId="5" type="noConversion"/>
  </si>
  <si>
    <t>- 강사비</t>
    <phoneticPr fontId="5" type="noConversion"/>
  </si>
  <si>
    <t>- 카드수수료</t>
    <phoneticPr fontId="5" type="noConversion"/>
  </si>
  <si>
    <t xml:space="preserve">× </t>
    <phoneticPr fontId="4" type="noConversion"/>
  </si>
  <si>
    <t>ㅇ온라인 지역소통</t>
    <phoneticPr fontId="5" type="noConversion"/>
  </si>
  <si>
    <t>- 블로그 운영비(이벤트 진행 등)</t>
    <phoneticPr fontId="5" type="noConversion"/>
  </si>
  <si>
    <t>ㅇ이자반환금(과년도)</t>
    <phoneticPr fontId="5" type="noConversion"/>
  </si>
  <si>
    <t>­ 예금이자</t>
    <phoneticPr fontId="4" type="noConversion"/>
  </si>
  <si>
    <t>ㅇ차기년도이월금</t>
    <phoneticPr fontId="5" type="noConversion"/>
  </si>
  <si>
    <t xml:space="preserve">× </t>
    <phoneticPr fontId="4" type="noConversion"/>
  </si>
  <si>
    <t>ㅇ청소년축제</t>
    <phoneticPr fontId="5" type="noConversion"/>
  </si>
  <si>
    <t>­ 진행비(무대, 음향 등)</t>
    <phoneticPr fontId="5" type="noConversion"/>
  </si>
  <si>
    <t>- 회의비(준비, 평가)</t>
    <phoneticPr fontId="5" type="noConversion"/>
  </si>
  <si>
    <t>- 홍보비(포스터, 현수막 등)</t>
    <phoneticPr fontId="5" type="noConversion"/>
  </si>
  <si>
    <t>ㅇ고양시 청소년문화의집 연합 프로젝트</t>
    <phoneticPr fontId="5" type="noConversion"/>
  </si>
  <si>
    <t>ㅇ고양시 청소년포럼</t>
    <phoneticPr fontId="5" type="noConversion"/>
  </si>
  <si>
    <t>­ 포럼 진행비</t>
    <phoneticPr fontId="5" type="noConversion"/>
  </si>
  <si>
    <t>- 회의비</t>
    <phoneticPr fontId="5" type="noConversion"/>
  </si>
  <si>
    <t>ㅇ놀 궁리 프로젝트</t>
    <phoneticPr fontId="5" type="noConversion"/>
  </si>
  <si>
    <t>­ 활동비(식비 등)</t>
    <phoneticPr fontId="5" type="noConversion"/>
  </si>
  <si>
    <t>- 물품구입비(활동복, 놀이물품)</t>
    <phoneticPr fontId="5" type="noConversion"/>
  </si>
  <si>
    <t>- 강사비(생태교육)</t>
    <phoneticPr fontId="5" type="noConversion"/>
  </si>
  <si>
    <t>ㅇ급량비</t>
    <phoneticPr fontId="5" type="noConversion"/>
  </si>
  <si>
    <t>­ 특근매식비</t>
    <phoneticPr fontId="4" type="noConversion"/>
  </si>
  <si>
    <t>ㅇ직원복지</t>
    <phoneticPr fontId="5" type="noConversion"/>
  </si>
  <si>
    <t>ㅇ여비</t>
    <phoneticPr fontId="5" type="noConversion"/>
  </si>
  <si>
    <t>ㅇ수도광열비</t>
    <phoneticPr fontId="5" type="noConversion"/>
  </si>
  <si>
    <t>­ 전기요금</t>
    <phoneticPr fontId="4" type="noConversion"/>
  </si>
  <si>
    <t>ㅇ상하수도료</t>
    <phoneticPr fontId="5" type="noConversion"/>
  </si>
  <si>
    <t>­ 상하수도료</t>
    <phoneticPr fontId="4" type="noConversion"/>
  </si>
  <si>
    <t>ㅇ사무용품비</t>
    <phoneticPr fontId="5" type="noConversion"/>
  </si>
  <si>
    <t>­ 사무실운영비</t>
    <phoneticPr fontId="4" type="noConversion"/>
  </si>
  <si>
    <t>­ 각종수수료</t>
    <phoneticPr fontId="5" type="noConversion"/>
  </si>
  <si>
    <t>ㅇ지급임차료</t>
    <phoneticPr fontId="5" type="noConversion"/>
  </si>
  <si>
    <t>­ 냉온정수기임차료</t>
    <phoneticPr fontId="5" type="noConversion"/>
  </si>
  <si>
    <t>ㅇ시설유지보수</t>
    <phoneticPr fontId="5" type="noConversion"/>
  </si>
  <si>
    <t>­ 시설유지보수</t>
    <phoneticPr fontId="4" type="noConversion"/>
  </si>
  <si>
    <t xml:space="preserve">× </t>
    <phoneticPr fontId="4" type="noConversion"/>
  </si>
  <si>
    <t>ㅇ보험료</t>
    <phoneticPr fontId="5" type="noConversion"/>
  </si>
  <si>
    <t>­ 시설종합보험료</t>
    <phoneticPr fontId="5" type="noConversion"/>
  </si>
  <si>
    <t>ㅇ지급수수료</t>
    <phoneticPr fontId="5" type="noConversion"/>
  </si>
  <si>
    <t>­ 무인경비시스템유지관리비</t>
    <phoneticPr fontId="5" type="noConversion"/>
  </si>
  <si>
    <t>ㅇ 관서업무비</t>
    <phoneticPr fontId="5" type="noConversion"/>
  </si>
  <si>
    <t>­ 정원가산업무추진비</t>
    <phoneticPr fontId="4" type="noConversion"/>
  </si>
  <si>
    <t>ㅇ청소년 문화활동</t>
    <phoneticPr fontId="5" type="noConversion"/>
  </si>
  <si>
    <t>ㅇ더불어사는마을</t>
    <phoneticPr fontId="5" type="noConversion"/>
  </si>
  <si>
    <t>ㅇ이자반환금(과년도)</t>
    <phoneticPr fontId="5" type="noConversion"/>
  </si>
  <si>
    <t>­ 예금이자</t>
    <phoneticPr fontId="5" type="noConversion"/>
  </si>
  <si>
    <t>2019년 세입예산(안) 총괄표</t>
    <phoneticPr fontId="5" type="noConversion"/>
  </si>
  <si>
    <t>2019년도 세입·세출예산서(안)</t>
    <phoneticPr fontId="4" type="noConversion"/>
  </si>
  <si>
    <t>○ 2019년 세입예산규모</t>
  </si>
  <si>
    <t>○ 2019년 세입예산(안) 총괄표</t>
  </si>
  <si>
    <t>○ 2019년 세출예산(안) 총괄표</t>
  </si>
  <si>
    <t>○ 2019년 세입·세출예산(안) 요약 총괄표</t>
  </si>
  <si>
    <t>2019년 세입예산 규모</t>
    <phoneticPr fontId="5" type="noConversion"/>
  </si>
  <si>
    <t>2019년예산액(A)</t>
  </si>
  <si>
    <t>2019년예산액(A)</t>
    <phoneticPr fontId="5" type="noConversion"/>
  </si>
  <si>
    <t>2019년예산액(A)</t>
    <phoneticPr fontId="4" type="noConversion"/>
  </si>
  <si>
    <t>2018년예산액(B)</t>
  </si>
  <si>
    <t>2018년예산액(B)</t>
    <phoneticPr fontId="4" type="noConversion"/>
  </si>
  <si>
    <t>2019년 세출예산(안) 총괄표</t>
    <phoneticPr fontId="5" type="noConversion"/>
  </si>
  <si>
    <t>2019년 세입·세출예산(안) 요약 총괄표</t>
    <phoneticPr fontId="5" type="noConversion"/>
  </si>
  <si>
    <t>2019년예산액(A)</t>
    <phoneticPr fontId="4" type="noConversion"/>
  </si>
  <si>
    <t>2018년예산액(B)</t>
    <phoneticPr fontId="4" type="noConversion"/>
  </si>
  <si>
    <t>제1조(총칙) 2019년도 재단법인 고양시청소년재단의 본예산은 다음과 같이 정한다.</t>
    <phoneticPr fontId="4" type="noConversion"/>
  </si>
  <si>
    <t>제2조(업무의 연간 예정량) 2019년도 업무의 예정량은 다음과 같다.</t>
  </si>
  <si>
    <t>­바리스타</t>
    <phoneticPr fontId="5" type="noConversion"/>
  </si>
  <si>
    <t>­캘리그라피&amp;서예</t>
    <phoneticPr fontId="5" type="noConversion"/>
  </si>
  <si>
    <t>­풍물</t>
    <phoneticPr fontId="5" type="noConversion"/>
  </si>
  <si>
    <t>­종이접기</t>
    <phoneticPr fontId="5" type="noConversion"/>
  </si>
  <si>
    <t>­또래체험 역사</t>
    <phoneticPr fontId="5" type="noConversion"/>
  </si>
  <si>
    <t>­코딩</t>
    <phoneticPr fontId="5" type="noConversion"/>
  </si>
  <si>
    <t>­3D펜</t>
    <phoneticPr fontId="5" type="noConversion"/>
  </si>
  <si>
    <t>­도예</t>
    <phoneticPr fontId="5" type="noConversion"/>
  </si>
  <si>
    <t>­피아노</t>
    <phoneticPr fontId="5" type="noConversion"/>
  </si>
  <si>
    <t>­통기타,클레식기타,우크렐레</t>
    <phoneticPr fontId="5" type="noConversion"/>
  </si>
  <si>
    <t>­바이올린</t>
    <phoneticPr fontId="5" type="noConversion"/>
  </si>
  <si>
    <t>­보컬트레이닝</t>
    <phoneticPr fontId="5" type="noConversion"/>
  </si>
  <si>
    <t>­유화</t>
    <phoneticPr fontId="5" type="noConversion"/>
  </si>
  <si>
    <t>­한국화</t>
    <phoneticPr fontId="5" type="noConversion"/>
  </si>
  <si>
    <t>­수채화&amp;데생</t>
    <phoneticPr fontId="5" type="noConversion"/>
  </si>
  <si>
    <t>­열린아트스쿨</t>
    <phoneticPr fontId="5" type="noConversion"/>
  </si>
  <si>
    <t>­유아미술</t>
    <phoneticPr fontId="5" type="noConversion"/>
  </si>
  <si>
    <t>­영어</t>
    <phoneticPr fontId="5" type="noConversion"/>
  </si>
  <si>
    <t>­중국어</t>
    <phoneticPr fontId="5" type="noConversion"/>
  </si>
  <si>
    <t>­일본어</t>
    <phoneticPr fontId="5" type="noConversion"/>
  </si>
  <si>
    <t>­발레</t>
    <phoneticPr fontId="5" type="noConversion"/>
  </si>
  <si>
    <t>­요가</t>
    <phoneticPr fontId="5" type="noConversion"/>
  </si>
  <si>
    <t>­스트릿댄스</t>
    <phoneticPr fontId="5" type="noConversion"/>
  </si>
  <si>
    <t>­음악줄넘기</t>
    <phoneticPr fontId="5" type="noConversion"/>
  </si>
  <si>
    <t>­줌바</t>
    <phoneticPr fontId="5" type="noConversion"/>
  </si>
  <si>
    <t>­바디스킬릴리즈+코어운동</t>
    <phoneticPr fontId="5" type="noConversion"/>
  </si>
  <si>
    <t>­댄스스포츠+생활웰빙댄스</t>
    <phoneticPr fontId="5" type="noConversion"/>
  </si>
  <si>
    <t>­인라인스케이트</t>
    <phoneticPr fontId="5" type="noConversion"/>
  </si>
  <si>
    <t>­농구(평일)</t>
    <phoneticPr fontId="5" type="noConversion"/>
  </si>
  <si>
    <t>­농구(주말)</t>
    <phoneticPr fontId="5" type="noConversion"/>
  </si>
  <si>
    <t>­스쿼시(오전)</t>
    <phoneticPr fontId="5" type="noConversion"/>
  </si>
  <si>
    <t>­스쿼시(오후)</t>
    <phoneticPr fontId="5" type="noConversion"/>
  </si>
  <si>
    <t>­헬스</t>
    <phoneticPr fontId="5" type="noConversion"/>
  </si>
  <si>
    <t>­여름방학특강</t>
    <phoneticPr fontId="5" type="noConversion"/>
  </si>
  <si>
    <t>ㅇ바우처연계사업</t>
    <phoneticPr fontId="5" type="noConversion"/>
  </si>
  <si>
    <t xml:space="preserve"> </t>
    <phoneticPr fontId="5" type="noConversion"/>
  </si>
  <si>
    <t>ㅇ청소년연합워크숍</t>
    <phoneticPr fontId="5" type="noConversion"/>
  </si>
  <si>
    <t>ㅇ청소년권리증진사업</t>
    <phoneticPr fontId="5" type="noConversion"/>
  </si>
  <si>
    <t>ㅇ고3 수험생프로그램</t>
    <phoneticPr fontId="5" type="noConversion"/>
  </si>
  <si>
    <t>ㅇ청소년지도사실습</t>
  </si>
  <si>
    <t>ㅇ꿈터예술제</t>
    <phoneticPr fontId="5" type="noConversion"/>
  </si>
  <si>
    <t>ㅇ창의적체험활동</t>
    <phoneticPr fontId="5" type="noConversion"/>
  </si>
  <si>
    <t>ㅇ자유학년제프로그램</t>
    <phoneticPr fontId="5" type="noConversion"/>
  </si>
  <si>
    <t>ㅇ청소년안전특화사업</t>
    <phoneticPr fontId="5" type="noConversion"/>
  </si>
  <si>
    <t>ㅇ청소년인성교육사업</t>
    <phoneticPr fontId="5" type="noConversion"/>
  </si>
  <si>
    <t>ㅇ국제교류사업</t>
    <phoneticPr fontId="5" type="noConversion"/>
  </si>
  <si>
    <t xml:space="preserve"> </t>
    <phoneticPr fontId="5" type="noConversion"/>
  </si>
  <si>
    <t>ㅇ토당행복식당</t>
    <phoneticPr fontId="5" type="noConversion"/>
  </si>
  <si>
    <t>­ 방과후청소년</t>
    <phoneticPr fontId="5" type="noConversion"/>
  </si>
  <si>
    <t>­ 수련관직원</t>
    <phoneticPr fontId="5" type="noConversion"/>
  </si>
  <si>
    <t>­ 직원외급식</t>
    <phoneticPr fontId="5" type="noConversion"/>
  </si>
  <si>
    <t>ㅇ음료판매수입</t>
    <phoneticPr fontId="5" type="noConversion"/>
  </si>
  <si>
    <t>­ 판매수입</t>
  </si>
  <si>
    <t>ㅇ예금이자수익</t>
    <phoneticPr fontId="5" type="noConversion"/>
  </si>
  <si>
    <t>ㅇ고양시위탁보조금</t>
    <phoneticPr fontId="5" type="noConversion"/>
  </si>
  <si>
    <t>­ 토당지원금</t>
  </si>
  <si>
    <t>ㅇ전년도이월금</t>
    <phoneticPr fontId="5" type="noConversion"/>
  </si>
  <si>
    <t>­이월금</t>
    <phoneticPr fontId="5" type="noConversion"/>
  </si>
  <si>
    <t>­ 집단및상설</t>
  </si>
  <si>
    <t>ㅇ전년도이월금</t>
    <phoneticPr fontId="5" type="noConversion"/>
  </si>
  <si>
    <t>=</t>
    <phoneticPr fontId="5" type="noConversion"/>
  </si>
  <si>
    <t>ㅇ보드게임 사용</t>
  </si>
  <si>
    <t>­ 보드게임 사용료</t>
  </si>
  <si>
    <t>2019년 고양시청소년상담복지센터 세출예산서(안)</t>
  </si>
  <si>
    <t xml:space="preserve">× </t>
    <phoneticPr fontId="4" type="noConversion"/>
  </si>
  <si>
    <t>­ 안내데스크</t>
    <phoneticPr fontId="4" type="noConversion"/>
  </si>
  <si>
    <t xml:space="preserve">× </t>
    <phoneticPr fontId="4" type="noConversion"/>
  </si>
  <si>
    <t>=</t>
    <phoneticPr fontId="4" type="noConversion"/>
  </si>
  <si>
    <t>­ 연가보상비</t>
    <phoneticPr fontId="4" type="noConversion"/>
  </si>
  <si>
    <t>­ 퇴직금</t>
    <phoneticPr fontId="4" type="noConversion"/>
  </si>
  <si>
    <t>ㅇ기간제근로자보수</t>
    <phoneticPr fontId="4" type="noConversion"/>
  </si>
  <si>
    <t>­ 보안</t>
    <phoneticPr fontId="4" type="noConversion"/>
  </si>
  <si>
    <t>­ 북카페(주말)</t>
    <phoneticPr fontId="4" type="noConversion"/>
  </si>
  <si>
    <t>­ 우편물,택배 발송비</t>
    <phoneticPr fontId="4" type="noConversion"/>
  </si>
  <si>
    <t>ㅇ통신비</t>
    <phoneticPr fontId="4" type="noConversion"/>
  </si>
  <si>
    <t>­ 전화 인터넷 사용료</t>
    <phoneticPr fontId="4" type="noConversion"/>
  </si>
  <si>
    <t xml:space="preserve">× </t>
    <phoneticPr fontId="4" type="noConversion"/>
  </si>
  <si>
    <t>ㅇ협회비및부담금</t>
    <phoneticPr fontId="4" type="noConversion"/>
  </si>
  <si>
    <t>­ 소방안전협회비</t>
    <phoneticPr fontId="4" type="noConversion"/>
  </si>
  <si>
    <t xml:space="preserve">× </t>
    <phoneticPr fontId="4" type="noConversion"/>
  </si>
  <si>
    <t>=</t>
    <phoneticPr fontId="4" type="noConversion"/>
  </si>
  <si>
    <t>­ 전기안전협회비</t>
    <phoneticPr fontId="4" type="noConversion"/>
  </si>
  <si>
    <t>­ 청소년시설협회비</t>
    <phoneticPr fontId="4" type="noConversion"/>
  </si>
  <si>
    <t>­ 교통유발부담금</t>
    <phoneticPr fontId="4" type="noConversion"/>
  </si>
  <si>
    <t>=</t>
    <phoneticPr fontId="4" type="noConversion"/>
  </si>
  <si>
    <t>ㅇ수도광열비</t>
    <phoneticPr fontId="4" type="noConversion"/>
  </si>
  <si>
    <t>­ 전기요금</t>
    <phoneticPr fontId="4" type="noConversion"/>
  </si>
  <si>
    <t xml:space="preserve">× </t>
    <phoneticPr fontId="4" type="noConversion"/>
  </si>
  <si>
    <t>­ 지역난방료(냉난방)</t>
    <phoneticPr fontId="4" type="noConversion"/>
  </si>
  <si>
    <t>=</t>
    <phoneticPr fontId="4" type="noConversion"/>
  </si>
  <si>
    <t>­ 상하수도요금</t>
    <phoneticPr fontId="4" type="noConversion"/>
  </si>
  <si>
    <t>ㅇ사무용품비</t>
    <phoneticPr fontId="4" type="noConversion"/>
  </si>
  <si>
    <t>­ 사무용품비</t>
    <phoneticPr fontId="4" type="noConversion"/>
  </si>
  <si>
    <t xml:space="preserve">× </t>
    <phoneticPr fontId="4" type="noConversion"/>
  </si>
  <si>
    <t>=</t>
    <phoneticPr fontId="4" type="noConversion"/>
  </si>
  <si>
    <t>­ 복사용지</t>
    <phoneticPr fontId="4" type="noConversion"/>
  </si>
  <si>
    <t xml:space="preserve">× </t>
    <phoneticPr fontId="4" type="noConversion"/>
  </si>
  <si>
    <t>=</t>
    <phoneticPr fontId="4" type="noConversion"/>
  </si>
  <si>
    <t>ㅇ전산소모품비</t>
    <phoneticPr fontId="4" type="noConversion"/>
  </si>
  <si>
    <t>­ 사무용 소프트웨어, 백신 등(1년 라이선스)</t>
    <phoneticPr fontId="4" type="noConversion"/>
  </si>
  <si>
    <t>ㅇ청소용품비</t>
    <phoneticPr fontId="4" type="noConversion"/>
  </si>
  <si>
    <t>­ 청소용소모품비</t>
    <phoneticPr fontId="4" type="noConversion"/>
  </si>
  <si>
    <t>=</t>
    <phoneticPr fontId="4" type="noConversion"/>
  </si>
  <si>
    <t>ㅇ지급임차료</t>
    <phoneticPr fontId="4" type="noConversion"/>
  </si>
  <si>
    <t>­ 복합기임차료</t>
    <phoneticPr fontId="4" type="noConversion"/>
  </si>
  <si>
    <t>­ 차량임차료</t>
    <phoneticPr fontId="4" type="noConversion"/>
  </si>
  <si>
    <t xml:space="preserve">× </t>
    <phoneticPr fontId="4" type="noConversion"/>
  </si>
  <si>
    <t>­ 공기청정기임차료</t>
    <phoneticPr fontId="4" type="noConversion"/>
  </si>
  <si>
    <t>­ 물탱크유지관리비</t>
    <phoneticPr fontId="4" type="noConversion"/>
  </si>
  <si>
    <t>=</t>
    <phoneticPr fontId="4" type="noConversion"/>
  </si>
  <si>
    <t>­ 공기조화설비 유지관리비</t>
    <phoneticPr fontId="4" type="noConversion"/>
  </si>
  <si>
    <t xml:space="preserve">× </t>
    <phoneticPr fontId="4" type="noConversion"/>
  </si>
  <si>
    <t>­ PC유지관리비</t>
    <phoneticPr fontId="4" type="noConversion"/>
  </si>
  <si>
    <t xml:space="preserve">× </t>
    <phoneticPr fontId="4" type="noConversion"/>
  </si>
  <si>
    <t>­ 통신시설유지관리비</t>
    <phoneticPr fontId="4" type="noConversion"/>
  </si>
  <si>
    <t>­ 승강기위탁관리유지관리비</t>
    <phoneticPr fontId="4" type="noConversion"/>
  </si>
  <si>
    <t>­ 건물수선비(대청소)</t>
    <phoneticPr fontId="4" type="noConversion"/>
  </si>
  <si>
    <t>ㅇ차량유지비</t>
    <phoneticPr fontId="4" type="noConversion"/>
  </si>
  <si>
    <t>­ 주유비 및 수리</t>
    <phoneticPr fontId="4" type="noConversion"/>
  </si>
  <si>
    <t xml:space="preserve">× </t>
    <phoneticPr fontId="4" type="noConversion"/>
  </si>
  <si>
    <t>=</t>
    <phoneticPr fontId="4" type="noConversion"/>
  </si>
  <si>
    <t>­ 이행보증보험</t>
    <phoneticPr fontId="4" type="noConversion"/>
  </si>
  <si>
    <t>­ 무인경비시스템유지관리비</t>
    <phoneticPr fontId="4" type="noConversion"/>
  </si>
  <si>
    <t>­ 해충방제방역유지관리비</t>
    <phoneticPr fontId="4" type="noConversion"/>
  </si>
  <si>
    <t>­ 수질검사수수료</t>
    <phoneticPr fontId="4" type="noConversion"/>
  </si>
  <si>
    <t>=</t>
    <phoneticPr fontId="4" type="noConversion"/>
  </si>
  <si>
    <t>­ 승강기정기검사수수료</t>
    <phoneticPr fontId="4" type="noConversion"/>
  </si>
  <si>
    <t>ㅇ재료비기타</t>
    <phoneticPr fontId="4" type="noConversion"/>
  </si>
  <si>
    <t>­ 안전재료구입</t>
    <phoneticPr fontId="4" type="noConversion"/>
  </si>
  <si>
    <t xml:space="preserve">× </t>
    <phoneticPr fontId="4" type="noConversion"/>
  </si>
  <si>
    <t>ㅇ전문위원회(운영위원회 등)</t>
    <phoneticPr fontId="4" type="noConversion"/>
  </si>
  <si>
    <t>×</t>
    <phoneticPr fontId="5" type="noConversion"/>
  </si>
  <si>
    <t>ㅇ청소년 자치 조직 연합활동</t>
    <phoneticPr fontId="4" type="noConversion"/>
  </si>
  <si>
    <t>ㅇ지역 내 학교 학생회 연계 사업</t>
    <phoneticPr fontId="4" type="noConversion"/>
  </si>
  <si>
    <t>ㅇ포용적 세계시민 양성 사업</t>
    <phoneticPr fontId="4" type="noConversion"/>
  </si>
  <si>
    <t>ㅇ후기청소년지원사업</t>
    <phoneticPr fontId="4" type="noConversion"/>
  </si>
  <si>
    <t>ㅇ청소년 크리에이터 프로젝트</t>
    <phoneticPr fontId="4" type="noConversion"/>
  </si>
  <si>
    <t>×</t>
    <phoneticPr fontId="5" type="noConversion"/>
  </si>
  <si>
    <t>ㅇ청소년 사회적 경제 프로젝트</t>
    <phoneticPr fontId="4" type="noConversion"/>
  </si>
  <si>
    <t>ㅇ청소년 창작 연극 사업</t>
    <phoneticPr fontId="4" type="noConversion"/>
  </si>
  <si>
    <t>ㅇ청소년 여행 기획 프로젝트</t>
    <phoneticPr fontId="4" type="noConversion"/>
  </si>
  <si>
    <t>ㅇ청소년 마을환경 개선 프로젝트</t>
    <phoneticPr fontId="4" type="noConversion"/>
  </si>
  <si>
    <t>ㅇ지역사회 연계 청소년 축제 사업</t>
    <phoneticPr fontId="4" type="noConversion"/>
  </si>
  <si>
    <t>ㅇ미 국무부 연계 청소년 홈스테이</t>
    <phoneticPr fontId="4" type="noConversion"/>
  </si>
  <si>
    <t>ㅇ기후변화대응 프로젝트 사업</t>
    <phoneticPr fontId="4" type="noConversion"/>
  </si>
  <si>
    <t>ㅇ온라인 청소년 국제교류 사업</t>
    <phoneticPr fontId="4" type="noConversion"/>
  </si>
  <si>
    <t>ㅇ한국워크캠프</t>
    <phoneticPr fontId="4" type="noConversion"/>
  </si>
  <si>
    <t>ㅇ청소년 노동권 증진 프로젝트</t>
    <phoneticPr fontId="4" type="noConversion"/>
  </si>
  <si>
    <t>ㅇ청소년 성평등 문화 확산 사업</t>
    <phoneticPr fontId="4" type="noConversion"/>
  </si>
  <si>
    <t>ㅇ위기 청소년 프로젝트 사업</t>
    <phoneticPr fontId="4" type="noConversion"/>
  </si>
  <si>
    <t>ㅇ지역 연대 세대 공감 사업</t>
    <phoneticPr fontId="4" type="noConversion"/>
  </si>
  <si>
    <t>ㅇ지역사회 문화공유 사업</t>
    <phoneticPr fontId="4" type="noConversion"/>
  </si>
  <si>
    <t>100 인건비</t>
    <phoneticPr fontId="4" type="noConversion"/>
  </si>
  <si>
    <t>­ 북카페(평일)</t>
    <phoneticPr fontId="4" type="noConversion"/>
  </si>
  <si>
    <t xml:space="preserve">× </t>
    <phoneticPr fontId="4" type="noConversion"/>
  </si>
  <si>
    <t>=</t>
    <phoneticPr fontId="4" type="noConversion"/>
  </si>
  <si>
    <t>ㅇ사회4대보험(기간제근로자 7명)</t>
    <phoneticPr fontId="4" type="noConversion"/>
  </si>
  <si>
    <t>­ 국민연금부담금</t>
    <phoneticPr fontId="4" type="noConversion"/>
  </si>
  <si>
    <t xml:space="preserve">× </t>
    <phoneticPr fontId="4" type="noConversion"/>
  </si>
  <si>
    <t>=</t>
    <phoneticPr fontId="4" type="noConversion"/>
  </si>
  <si>
    <t>­ 국민건강보험부담금</t>
    <phoneticPr fontId="4" type="noConversion"/>
  </si>
  <si>
    <t>­ 장기요양보험부담금</t>
    <phoneticPr fontId="4" type="noConversion"/>
  </si>
  <si>
    <t>­ 고용보험부담금</t>
    <phoneticPr fontId="4" type="noConversion"/>
  </si>
  <si>
    <t>­ 산재보험부담금</t>
    <phoneticPr fontId="4" type="noConversion"/>
  </si>
  <si>
    <t>ㅇ직원복지</t>
    <phoneticPr fontId="4" type="noConversion"/>
  </si>
  <si>
    <t>­ 직원종합건강검진</t>
    <phoneticPr fontId="4" type="noConversion"/>
  </si>
  <si>
    <t>­ 선택적복지제도</t>
    <phoneticPr fontId="4" type="noConversion"/>
  </si>
  <si>
    <t>ㅇ급량비</t>
    <phoneticPr fontId="4" type="noConversion"/>
  </si>
  <si>
    <t>­ 특근매식비</t>
    <phoneticPr fontId="4" type="noConversion"/>
  </si>
  <si>
    <t>ㅇ여비</t>
    <phoneticPr fontId="4" type="noConversion"/>
  </si>
  <si>
    <t>­ 국내여비</t>
    <phoneticPr fontId="4" type="noConversion"/>
  </si>
  <si>
    <t xml:space="preserve">× </t>
    <phoneticPr fontId="4" type="noConversion"/>
  </si>
  <si>
    <t>­ 부가가치세</t>
    <phoneticPr fontId="4" type="noConversion"/>
  </si>
  <si>
    <t>ㅇ사무용품비</t>
    <phoneticPr fontId="4" type="noConversion"/>
  </si>
  <si>
    <t>­ 사무용품비</t>
    <phoneticPr fontId="4" type="noConversion"/>
  </si>
  <si>
    <t>ㅇ약품구입비</t>
    <phoneticPr fontId="4" type="noConversion"/>
  </si>
  <si>
    <t>­ 비상약품</t>
    <phoneticPr fontId="4" type="noConversion"/>
  </si>
  <si>
    <t>­ 직원피복비 (미화, 보안, 안내데스크 등)</t>
    <phoneticPr fontId="4" type="noConversion"/>
  </si>
  <si>
    <t xml:space="preserve">× </t>
    <phoneticPr fontId="4" type="noConversion"/>
  </si>
  <si>
    <t>=</t>
    <phoneticPr fontId="4" type="noConversion"/>
  </si>
  <si>
    <t>­ 정기간행물 및 도서구입비</t>
    <phoneticPr fontId="4" type="noConversion"/>
  </si>
  <si>
    <t>­ 기관리플릿 및 사업보고서 제작</t>
    <phoneticPr fontId="4" type="noConversion"/>
  </si>
  <si>
    <t xml:space="preserve">× </t>
    <phoneticPr fontId="4" type="noConversion"/>
  </si>
  <si>
    <t>=</t>
    <phoneticPr fontId="4" type="noConversion"/>
  </si>
  <si>
    <t>ㅇ 정원가산업무추진비</t>
    <phoneticPr fontId="4" type="noConversion"/>
  </si>
  <si>
    <t>ㅇ 시책추진업무추진비</t>
    <phoneticPr fontId="4" type="noConversion"/>
  </si>
  <si>
    <t>ㅇ교육훈련비</t>
    <phoneticPr fontId="4" type="noConversion"/>
  </si>
  <si>
    <t>­ 직원교육지원비</t>
    <phoneticPr fontId="4" type="noConversion"/>
  </si>
  <si>
    <t>ㅇ워크숍</t>
    <phoneticPr fontId="4" type="noConversion"/>
  </si>
  <si>
    <t>­ 주민세 법인균등분</t>
    <phoneticPr fontId="4" type="noConversion"/>
  </si>
  <si>
    <t>405 자산취득비</t>
    <phoneticPr fontId="4" type="noConversion"/>
  </si>
  <si>
    <t>731 직영사업비</t>
    <phoneticPr fontId="4" type="noConversion"/>
  </si>
  <si>
    <t>ㅇ포용적 세계시민 양성 사업</t>
    <phoneticPr fontId="4" type="noConversion"/>
  </si>
  <si>
    <t>×</t>
    <phoneticPr fontId="5" type="noConversion"/>
  </si>
  <si>
    <t>ㅇ청소년 욕구반영 프로젝트</t>
    <phoneticPr fontId="4" type="noConversion"/>
  </si>
  <si>
    <t>ㅇ융합 토크 콘서트 &amp; 원데이특강</t>
    <phoneticPr fontId="4" type="noConversion"/>
  </si>
  <si>
    <t>ㅇ청소년열린공간운영</t>
    <phoneticPr fontId="4" type="noConversion"/>
  </si>
  <si>
    <t>ㅇ카페(Travel)운영</t>
    <phoneticPr fontId="4" type="noConversion"/>
  </si>
  <si>
    <t>ㅇ청소년 교육활동사업</t>
    <phoneticPr fontId="4" type="noConversion"/>
  </si>
  <si>
    <t>ㅇ가족 소통 개선 프로젝트</t>
    <phoneticPr fontId="4" type="noConversion"/>
  </si>
  <si>
    <t>ㅇ예비 청소년지도사 실습 지원</t>
    <phoneticPr fontId="4" type="noConversion"/>
  </si>
  <si>
    <t>ㅇ홍보사업</t>
    <phoneticPr fontId="4" type="noConversion"/>
  </si>
  <si>
    <t>ㅇ학교 연계 프로젝트</t>
    <phoneticPr fontId="4" type="noConversion"/>
  </si>
  <si>
    <t>ㅇ성인 교육활동사업</t>
    <phoneticPr fontId="4" type="noConversion"/>
  </si>
  <si>
    <t>ㅇ이자반환금(과년도)</t>
    <phoneticPr fontId="4" type="noConversion"/>
  </si>
  <si>
    <t>­ 예금이자</t>
    <phoneticPr fontId="4" type="noConversion"/>
  </si>
  <si>
    <t>2019년 일산서구청소년수련관 세출예산서(안)</t>
  </si>
  <si>
    <t>2019년 토당청소년수련관 세출예산서(안)</t>
  </si>
  <si>
    <t xml:space="preserve">   - 관장</t>
    <phoneticPr fontId="4" type="noConversion"/>
  </si>
  <si>
    <t xml:space="preserve">   - 부장(5급)-2명</t>
    <phoneticPr fontId="4" type="noConversion"/>
  </si>
  <si>
    <t xml:space="preserve">   - 팀장(6급)-2명</t>
    <phoneticPr fontId="4" type="noConversion"/>
  </si>
  <si>
    <t>=</t>
    <phoneticPr fontId="5" type="noConversion"/>
  </si>
  <si>
    <t>- 팀장</t>
  </si>
  <si>
    <t xml:space="preserve">   - 배치지도사, 방과후 (7급)-2명</t>
    <phoneticPr fontId="4" type="noConversion"/>
  </si>
  <si>
    <t>- 부장</t>
    <phoneticPr fontId="5" type="noConversion"/>
  </si>
  <si>
    <t xml:space="preserve">   · 배우자,부양가족</t>
    <phoneticPr fontId="5" type="noConversion"/>
  </si>
  <si>
    <t>ㅇ자격수당</t>
    <phoneticPr fontId="5" type="noConversion"/>
  </si>
  <si>
    <t>- 출납수당</t>
    <phoneticPr fontId="5" type="noConversion"/>
  </si>
  <si>
    <t>- 소방안전관리자</t>
    <phoneticPr fontId="5" type="noConversion"/>
  </si>
  <si>
    <t>- 전기관리자</t>
    <phoneticPr fontId="5" type="noConversion"/>
  </si>
  <si>
    <t>- 가스관리자</t>
    <phoneticPr fontId="5" type="noConversion"/>
  </si>
  <si>
    <t xml:space="preserve">   - 팀장(6급)-2명</t>
    <phoneticPr fontId="4" type="noConversion"/>
  </si>
  <si>
    <t xml:space="preserve">   - 사원(7급)-7명</t>
    <phoneticPr fontId="4" type="noConversion"/>
  </si>
  <si>
    <t xml:space="preserve">   - 계약직 직원(안내데스크,경비 직원)</t>
    <phoneticPr fontId="4" type="noConversion"/>
  </si>
  <si>
    <t xml:space="preserve">   - 계약직 직원(안내데스크,경비 직원)</t>
    <phoneticPr fontId="4" type="noConversion"/>
  </si>
  <si>
    <t>ㅇ안내데스크</t>
  </si>
  <si>
    <t>­ 안내계약직 1명</t>
  </si>
  <si>
    <t>=</t>
    <phoneticPr fontId="5" type="noConversion"/>
  </si>
  <si>
    <t>ㅇ경비업무</t>
  </si>
  <si>
    <t xml:space="preserve"> </t>
    <phoneticPr fontId="5" type="noConversion"/>
  </si>
  <si>
    <t>­ 경비계약직 1명</t>
  </si>
  <si>
    <t>- 명절휴가비</t>
    <phoneticPr fontId="5" type="noConversion"/>
  </si>
  <si>
    <t>=</t>
    <phoneticPr fontId="5" type="noConversion"/>
  </si>
  <si>
    <t>1/12월</t>
  </si>
  <si>
    <t>­ 전화</t>
    <phoneticPr fontId="5" type="noConversion"/>
  </si>
  <si>
    <t>­ 인터넷</t>
    <phoneticPr fontId="5" type="noConversion"/>
  </si>
  <si>
    <t>­  가스요금</t>
    <phoneticPr fontId="5" type="noConversion"/>
  </si>
  <si>
    <t>­  상하수도료</t>
    <phoneticPr fontId="5" type="noConversion"/>
  </si>
  <si>
    <t>­ 신문대금</t>
    <phoneticPr fontId="5" type="noConversion"/>
  </si>
  <si>
    <t>­ 옥상 방수공사</t>
  </si>
  <si>
    <t>ㅇ미화용역비</t>
    <phoneticPr fontId="5" type="noConversion"/>
  </si>
  <si>
    <t>­ 미화용역</t>
    <phoneticPr fontId="5" type="noConversion"/>
  </si>
  <si>
    <t>=</t>
    <phoneticPr fontId="5" type="noConversion"/>
  </si>
  <si>
    <t>ㅇ청소년해피타임</t>
    <phoneticPr fontId="5" type="noConversion"/>
  </si>
  <si>
    <t>ㅇ청소년동아리</t>
    <phoneticPr fontId="5" type="noConversion"/>
  </si>
  <si>
    <t>ㅇ청소년자치기구</t>
    <phoneticPr fontId="5" type="noConversion"/>
  </si>
  <si>
    <t>ㅇ2017년도 급여 소급</t>
    <phoneticPr fontId="5" type="noConversion"/>
  </si>
  <si>
    <t>=</t>
    <phoneticPr fontId="5" type="noConversion"/>
  </si>
  <si>
    <t>­ 기간제근로자보수</t>
    <phoneticPr fontId="5" type="noConversion"/>
  </si>
  <si>
    <t>ㅇ직원급여보조</t>
    <phoneticPr fontId="5" type="noConversion"/>
  </si>
  <si>
    <t>­ 초과급여,시간외수당,연차수당</t>
    <phoneticPr fontId="5" type="noConversion"/>
  </si>
  <si>
    <t>ㅇ2017년도 급여 소급</t>
    <phoneticPr fontId="5" type="noConversion"/>
  </si>
  <si>
    <t>=</t>
    <phoneticPr fontId="5" type="noConversion"/>
  </si>
  <si>
    <t>ㅇ제세공과금</t>
  </si>
  <si>
    <t>­ 환경개선부담금</t>
  </si>
  <si>
    <t>­ 재산세주민분</t>
  </si>
  <si>
    <t>­ 협회가입비</t>
  </si>
  <si>
    <t>­ 법인세</t>
  </si>
  <si>
    <t>­ 기타부담금(발송비-우편, 택배)</t>
  </si>
  <si>
    <t>ㅇ소모품비</t>
  </si>
  <si>
    <t xml:space="preserve">   - 사무용품비</t>
  </si>
  <si>
    <t xml:space="preserve">   - 소모품비(볼펜, 없어지는물건, 약품구입비)</t>
  </si>
  <si>
    <t xml:space="preserve">   - 청소용품비</t>
  </si>
  <si>
    <t xml:space="preserve">   - 위생용품비</t>
  </si>
  <si>
    <t>­자료인쇄비</t>
  </si>
  <si>
    <t>­ 정수기임차료</t>
  </si>
  <si>
    <t>­ 흡수식냉온수기</t>
  </si>
  <si>
    <t>­ 팩스, 복사기임대</t>
  </si>
  <si>
    <t>­ 수리수선비</t>
  </si>
  <si>
    <t>­ 무인경비관리</t>
  </si>
  <si>
    <t>­ 부스타관리</t>
  </si>
  <si>
    <t>­ 승강기관리</t>
  </si>
  <si>
    <t>­ 전기안전관리</t>
  </si>
  <si>
    <t>­ 컴퓨터관리</t>
  </si>
  <si>
    <t>­ 홈페이지관리</t>
  </si>
  <si>
    <t>­ 정밀점검비</t>
  </si>
  <si>
    <t>­ 기능점검비</t>
  </si>
  <si>
    <t>­ 시설인테리어비(법인전입금 포함)</t>
    <phoneticPr fontId="5" type="noConversion"/>
  </si>
  <si>
    <t>­ 전산회계관리, 회원관리시스템</t>
  </si>
  <si>
    <t>­ 물탱크유지관리비</t>
    <phoneticPr fontId="4" type="noConversion"/>
  </si>
  <si>
    <t>­ 신원보증보험료</t>
  </si>
  <si>
    <t>­ 화재보험료</t>
  </si>
  <si>
    <t>­ 배상책임보험료</t>
  </si>
  <si>
    <t>­ 정기소독비</t>
  </si>
  <si>
    <t>­ 등록검사비</t>
  </si>
  <si>
    <t>­ 폐기물처리, 하자보수비</t>
  </si>
  <si>
    <t>­ 프로그램카드수수료</t>
  </si>
  <si>
    <t>­ 감사수수료</t>
  </si>
  <si>
    <t>­ 신고대행수수료</t>
  </si>
  <si>
    <t>­ 시책추진업무추진비</t>
    <phoneticPr fontId="5" type="noConversion"/>
  </si>
  <si>
    <t>ㅇ 부서운영업무추진비</t>
    <phoneticPr fontId="5" type="noConversion"/>
  </si>
  <si>
    <t>­ 부서운영업무추진비</t>
    <phoneticPr fontId="5" type="noConversion"/>
  </si>
  <si>
    <t>­ 정원가산업무추진비</t>
    <phoneticPr fontId="5" type="noConversion"/>
  </si>
  <si>
    <t>ㅇ위탁훈련비</t>
  </si>
  <si>
    <t>­ 위탁교육비(직원역량교육,의무교육)</t>
  </si>
  <si>
    <t>­ 직원보수교육 및 기타교육</t>
  </si>
  <si>
    <t>ㅇ행사,홍보비</t>
    <phoneticPr fontId="5" type="noConversion"/>
  </si>
  <si>
    <t>-현수막제작비</t>
    <phoneticPr fontId="5" type="noConversion"/>
  </si>
  <si>
    <t>-홍보안내지,인쇄물제작비</t>
    <phoneticPr fontId="5" type="noConversion"/>
  </si>
  <si>
    <t>-기념품 제작</t>
    <phoneticPr fontId="5" type="noConversion"/>
  </si>
  <si>
    <t>ㅇ 수련관 행사</t>
    <phoneticPr fontId="5" type="noConversion"/>
  </si>
  <si>
    <t>­ 직원체육대회</t>
    <phoneticPr fontId="5" type="noConversion"/>
  </si>
  <si>
    <t>o 청소년연합워크숍</t>
  </si>
  <si>
    <t>o 고3 수험생프로그램</t>
  </si>
  <si>
    <t>o 청소년 The 심쿵! 페스티벌</t>
  </si>
  <si>
    <t>o 청소년역량강화사업</t>
  </si>
  <si>
    <t>o 청소년장학사업</t>
  </si>
  <si>
    <t>o 청소년자원봉사</t>
  </si>
  <si>
    <t>o 청소년권리증진사업</t>
  </si>
  <si>
    <t>o 청소년안전특화사업</t>
  </si>
  <si>
    <t>o 청소년인성교육사업</t>
  </si>
  <si>
    <t>o 바우처연계사업</t>
    <phoneticPr fontId="5" type="noConversion"/>
  </si>
  <si>
    <t>o 방과후사업비 지원금</t>
  </si>
  <si>
    <t>­ 직원 정액급식비 지원(2명)</t>
  </si>
  <si>
    <t>=</t>
    <phoneticPr fontId="5" type="noConversion"/>
  </si>
  <si>
    <t>­ 4대보험료 지원(2명)</t>
  </si>
  <si>
    <t>750 법인전입금</t>
  </si>
  <si>
    <t>750 법인전입금</t>
    <phoneticPr fontId="4" type="noConversion"/>
  </si>
  <si>
    <t>o프로그램 지원금(법인전입금)</t>
  </si>
  <si>
    <t>­ 프로그램 지원금</t>
    <phoneticPr fontId="4" type="noConversion"/>
  </si>
  <si>
    <t>ㅇ시설인테리어비</t>
    <phoneticPr fontId="4" type="noConversion"/>
  </si>
  <si>
    <t>­ 시설인테리어비</t>
    <phoneticPr fontId="4" type="noConversion"/>
  </si>
  <si>
    <t>법인전입금</t>
    <phoneticPr fontId="4" type="noConversion"/>
  </si>
  <si>
    <t>ㅇ교육문화프로그램 사업비</t>
    <phoneticPr fontId="5" type="noConversion"/>
  </si>
  <si>
    <t xml:space="preserve">  코딩</t>
  </si>
  <si>
    <t xml:space="preserve">  3D펜</t>
  </si>
  <si>
    <t xml:space="preserve">  도예</t>
  </si>
  <si>
    <t xml:space="preserve">  피아노</t>
  </si>
  <si>
    <t xml:space="preserve">  통기타,클레식기타,우크렐레</t>
  </si>
  <si>
    <t xml:space="preserve">  바이올린</t>
  </si>
  <si>
    <t xml:space="preserve">  보컬트레이닝</t>
  </si>
  <si>
    <t xml:space="preserve">  유화</t>
  </si>
  <si>
    <t xml:space="preserve">  한국화</t>
  </si>
  <si>
    <t xml:space="preserve">  수채화&amp;데생</t>
  </si>
  <si>
    <t xml:space="preserve">  열린아트스쿨</t>
  </si>
  <si>
    <t xml:space="preserve">  유아미술</t>
  </si>
  <si>
    <t xml:space="preserve">  영어</t>
  </si>
  <si>
    <t xml:space="preserve">  중국어</t>
  </si>
  <si>
    <t xml:space="preserve">  일본어</t>
  </si>
  <si>
    <t xml:space="preserve">  발레</t>
  </si>
  <si>
    <t xml:space="preserve">  요가</t>
  </si>
  <si>
    <t xml:space="preserve">  스트릿댄스</t>
  </si>
  <si>
    <t xml:space="preserve">  음악줄넘기</t>
  </si>
  <si>
    <t xml:space="preserve">  줌바</t>
  </si>
  <si>
    <t xml:space="preserve">  바디스킬릴리즈+코어운동</t>
  </si>
  <si>
    <t xml:space="preserve">  댄스스포츠+생활웰빙댄스</t>
  </si>
  <si>
    <t xml:space="preserve">  인라인스케이트</t>
  </si>
  <si>
    <t xml:space="preserve">  농구(평일)</t>
  </si>
  <si>
    <t xml:space="preserve">  농구(주말)</t>
  </si>
  <si>
    <t xml:space="preserve">  스쿼시(오전)</t>
  </si>
  <si>
    <t xml:space="preserve">  스쿼시(오후)</t>
  </si>
  <si>
    <t xml:space="preserve">  헬스(저녁)</t>
  </si>
  <si>
    <t xml:space="preserve">  헬스(주말)</t>
  </si>
  <si>
    <t xml:space="preserve">  여름방학특강</t>
  </si>
  <si>
    <t xml:space="preserve"> </t>
    <phoneticPr fontId="5" type="noConversion"/>
  </si>
  <si>
    <t xml:space="preserve">  풍물교실간식비</t>
  </si>
  <si>
    <t>=</t>
    <phoneticPr fontId="5" type="noConversion"/>
  </si>
  <si>
    <t xml:space="preserve">  풍물교실생일잔치</t>
  </si>
  <si>
    <t xml:space="preserve">  풍물가족체험가족활동</t>
  </si>
  <si>
    <t>o 청소년 미디어 홍보사업</t>
  </si>
  <si>
    <t>ㅇ경기꿈의학교</t>
  </si>
  <si>
    <t>ㅇ평화를 잇는 발걸음</t>
  </si>
  <si>
    <t>o 지역문화축제</t>
  </si>
  <si>
    <t>o 청소년지도사 실습</t>
  </si>
  <si>
    <t>o 꿈터예술제</t>
    <phoneticPr fontId="5" type="noConversion"/>
  </si>
  <si>
    <t>o 창의적체험활동</t>
  </si>
  <si>
    <t>o 자유학년제프로그램</t>
  </si>
  <si>
    <t>o 수련관운영위원회</t>
  </si>
  <si>
    <t>=</t>
    <phoneticPr fontId="5" type="noConversion"/>
  </si>
  <si>
    <t>o 청소년농구대회</t>
    <phoneticPr fontId="5" type="noConversion"/>
  </si>
  <si>
    <t>o 식당사업비</t>
  </si>
  <si>
    <t>­ 식사재구입비</t>
  </si>
  <si>
    <t>­ 기타물품비,수리비. 운영비</t>
  </si>
  <si>
    <t>=</t>
    <phoneticPr fontId="5" type="noConversion"/>
  </si>
  <si>
    <t>o 자판기사업비</t>
  </si>
  <si>
    <t>­ 자판기음료구입</t>
  </si>
  <si>
    <t>o 대관사업비</t>
  </si>
  <si>
    <t>­ 대관사업필요물품 구입</t>
  </si>
  <si>
    <t>=</t>
    <phoneticPr fontId="5" type="noConversion"/>
  </si>
  <si>
    <t>ㅇ이자반환금(과년도)</t>
    <phoneticPr fontId="5" type="noConversion"/>
  </si>
  <si>
    <t>ㅇ차기년도이월금</t>
    <phoneticPr fontId="5" type="noConversion"/>
  </si>
  <si>
    <t>­ 이월금</t>
    <phoneticPr fontId="5" type="noConversion"/>
  </si>
  <si>
    <t>ㅇ예비비</t>
    <phoneticPr fontId="5" type="noConversion"/>
  </si>
  <si>
    <t>­ 예비비</t>
    <phoneticPr fontId="5" type="noConversion"/>
  </si>
  <si>
    <t>628 기타영업외수익</t>
    <phoneticPr fontId="4" type="noConversion"/>
  </si>
  <si>
    <t xml:space="preserve"> </t>
    <phoneticPr fontId="5" type="noConversion"/>
  </si>
  <si>
    <t>­ 전화 인터넷 사용료</t>
    <phoneticPr fontId="5" type="noConversion"/>
  </si>
  <si>
    <t xml:space="preserve">× </t>
    <phoneticPr fontId="5" type="noConversion"/>
  </si>
  <si>
    <t>- 전산소모품비</t>
    <phoneticPr fontId="5" type="noConversion"/>
  </si>
  <si>
    <t>­ 보증보험(신원보증보험료)</t>
    <phoneticPr fontId="5" type="noConversion"/>
  </si>
  <si>
    <t>- 무인경비시스템유지관리비</t>
    <phoneticPr fontId="5" type="noConversion"/>
  </si>
  <si>
    <t>ㅇ 자산취득비</t>
    <phoneticPr fontId="5" type="noConversion"/>
  </si>
  <si>
    <t>ㅇ부모교육특강 및 집단상담</t>
    <phoneticPr fontId="5" type="noConversion"/>
  </si>
  <si>
    <t>ㅇ카운슬러대학 및 상설프로그램</t>
    <phoneticPr fontId="5" type="noConversion"/>
  </si>
  <si>
    <t>ㅇ시간외/당직근무수당</t>
    <phoneticPr fontId="5" type="noConversion"/>
  </si>
  <si>
    <t xml:space="preserve"> - 소장</t>
    <phoneticPr fontId="5" type="noConversion"/>
  </si>
  <si>
    <t xml:space="preserve"> - 팀장1</t>
    <phoneticPr fontId="5" type="noConversion"/>
  </si>
  <si>
    <t xml:space="preserve"> - 팀장2</t>
    <phoneticPr fontId="5" type="noConversion"/>
  </si>
  <si>
    <t xml:space="preserve"> - 팀장3     </t>
    <phoneticPr fontId="5" type="noConversion"/>
  </si>
  <si>
    <t xml:space="preserve"> - 팀원1</t>
    <phoneticPr fontId="5" type="noConversion"/>
  </si>
  <si>
    <t xml:space="preserve"> - 팀원2</t>
    <phoneticPr fontId="5" type="noConversion"/>
  </si>
  <si>
    <t xml:space="preserve"> - 행정원</t>
    <phoneticPr fontId="5" type="noConversion"/>
  </si>
  <si>
    <t>ㅇ피복비</t>
    <phoneticPr fontId="5" type="noConversion"/>
  </si>
  <si>
    <t>ㅇ심리검사비</t>
    <phoneticPr fontId="5" type="noConversion"/>
  </si>
  <si>
    <t>732 민간사업비</t>
    <phoneticPr fontId="4" type="noConversion"/>
  </si>
  <si>
    <t>ㅇ집단 및 상설</t>
    <phoneticPr fontId="5" type="noConversion"/>
  </si>
  <si>
    <t>ㅇ운영비</t>
    <phoneticPr fontId="5" type="noConversion"/>
  </si>
  <si>
    <t>­ 회의운영비</t>
    <phoneticPr fontId="5" type="noConversion"/>
  </si>
  <si>
    <t>- 센터장</t>
  </si>
  <si>
    <t>=</t>
    <phoneticPr fontId="5" type="noConversion"/>
  </si>
  <si>
    <t>인건비</t>
    <phoneticPr fontId="4" type="noConversion"/>
  </si>
  <si>
    <t>- 사원 가급</t>
  </si>
  <si>
    <t>­ 기간제근로자</t>
    <phoneticPr fontId="5" type="noConversion"/>
  </si>
  <si>
    <t>­ 전화 인터넷 사용료</t>
    <phoneticPr fontId="5" type="noConversion"/>
  </si>
  <si>
    <t>­  수도료</t>
    <phoneticPr fontId="5" type="noConversion"/>
  </si>
  <si>
    <t>­ 냉온정수기임차료</t>
    <phoneticPr fontId="4" type="noConversion"/>
  </si>
  <si>
    <t>- 건물임차료</t>
    <phoneticPr fontId="5" type="noConversion"/>
  </si>
  <si>
    <t>­ 관리비</t>
    <phoneticPr fontId="5" type="noConversion"/>
  </si>
  <si>
    <t>­ 화재보험료</t>
    <phoneticPr fontId="5" type="noConversion"/>
  </si>
  <si>
    <t>ㅇ 홍보물제작비</t>
    <phoneticPr fontId="5" type="noConversion"/>
  </si>
  <si>
    <t>­ 플래카드 및 인쇄비</t>
    <phoneticPr fontId="5" type="noConversion"/>
  </si>
  <si>
    <t>ㅇ 운영위원회</t>
    <phoneticPr fontId="5" type="noConversion"/>
  </si>
  <si>
    <t>ㅇ 학교동아리지원사업</t>
    <phoneticPr fontId="5" type="noConversion"/>
  </si>
  <si>
    <t>ㅇ연대포럼</t>
    <phoneticPr fontId="5" type="noConversion"/>
  </si>
  <si>
    <t>­ 북카페 보조인력</t>
    <phoneticPr fontId="4" type="noConversion"/>
  </si>
  <si>
    <t>­ 재료구입비</t>
    <phoneticPr fontId="4" type="noConversion"/>
  </si>
  <si>
    <t>본예산합</t>
    <phoneticPr fontId="4" type="noConversion"/>
  </si>
  <si>
    <t>경비</t>
    <phoneticPr fontId="4" type="noConversion"/>
  </si>
  <si>
    <t>목적사업비</t>
    <phoneticPr fontId="4" type="noConversion"/>
  </si>
  <si>
    <t>자체사업비합</t>
    <phoneticPr fontId="4" type="noConversion"/>
  </si>
  <si>
    <t>인건비</t>
    <phoneticPr fontId="4" type="noConversion"/>
  </si>
  <si>
    <t>경비</t>
    <phoneticPr fontId="4" type="noConversion"/>
  </si>
  <si>
    <t>목적사업비</t>
    <phoneticPr fontId="4" type="noConversion"/>
  </si>
  <si>
    <t>기타영업외비용</t>
    <phoneticPr fontId="4" type="noConversion"/>
  </si>
  <si>
    <t>- 센터장</t>
    <phoneticPr fontId="5" type="noConversion"/>
  </si>
  <si>
    <t>- 팀장</t>
    <phoneticPr fontId="5" type="noConversion"/>
  </si>
  <si>
    <t>- 담당</t>
    <phoneticPr fontId="5" type="noConversion"/>
  </si>
  <si>
    <t>ㅇ급량비</t>
    <phoneticPr fontId="5" type="noConversion"/>
  </si>
  <si>
    <t>1/12월</t>
    <phoneticPr fontId="4" type="noConversion"/>
  </si>
  <si>
    <t>­ 임차료</t>
    <phoneticPr fontId="5" type="noConversion"/>
  </si>
  <si>
    <t>­ 정수기임차료</t>
    <phoneticPr fontId="5" type="noConversion"/>
  </si>
  <si>
    <t>­ 난방기임차료</t>
    <phoneticPr fontId="5" type="noConversion"/>
  </si>
  <si>
    <t>­ 철도공사시설유지관리비</t>
    <phoneticPr fontId="5" type="noConversion"/>
  </si>
  <si>
    <t>­ 출입구공사비</t>
    <phoneticPr fontId="5" type="noConversion"/>
  </si>
  <si>
    <t>­ 화재보험료</t>
    <phoneticPr fontId="5" type="noConversion"/>
  </si>
  <si>
    <t>­ 신원보증보험</t>
    <phoneticPr fontId="5" type="noConversion"/>
  </si>
  <si>
    <t>ㅇ홍보비</t>
    <phoneticPr fontId="5" type="noConversion"/>
  </si>
  <si>
    <t>­ 문자발송 및 회원관리</t>
    <phoneticPr fontId="5" type="noConversion"/>
  </si>
  <si>
    <t>­ 홍보물제작</t>
    <phoneticPr fontId="5" type="noConversion"/>
  </si>
  <si>
    <t>ㅇ자산취득비</t>
    <phoneticPr fontId="5" type="noConversion"/>
  </si>
  <si>
    <t>­ 컴퓨터구입비</t>
    <phoneticPr fontId="5" type="noConversion"/>
  </si>
  <si>
    <t>ㅇ자치프로그램</t>
    <phoneticPr fontId="5" type="noConversion"/>
  </si>
  <si>
    <t>­ 동아리운영비</t>
    <phoneticPr fontId="5" type="noConversion"/>
  </si>
  <si>
    <t>- 자율동아리지원비</t>
    <phoneticPr fontId="5" type="noConversion"/>
  </si>
  <si>
    <t>­ 청소년운영위원회</t>
    <phoneticPr fontId="5" type="noConversion"/>
  </si>
  <si>
    <t>­ 체험프로그램진행비</t>
    <phoneticPr fontId="5" type="noConversion"/>
  </si>
  <si>
    <t>­ 청소년멘토활동비</t>
    <phoneticPr fontId="5" type="noConversion"/>
  </si>
  <si>
    <t>ㅇ능곡역청소년축제</t>
    <phoneticPr fontId="5" type="noConversion"/>
  </si>
  <si>
    <t>ㅇ사랑의 몰래산타</t>
    <phoneticPr fontId="5" type="noConversion"/>
  </si>
  <si>
    <t>ㅇ고양청소년포럼</t>
    <phoneticPr fontId="5" type="noConversion"/>
  </si>
  <si>
    <t>ㅇ청소년락카페 놀러와 운영</t>
    <phoneticPr fontId="4" type="noConversion"/>
  </si>
  <si>
    <t>ㅇ청소년북카페 깔깔깔 운영</t>
    <phoneticPr fontId="4" type="noConversion"/>
  </si>
  <si>
    <t>경비</t>
    <phoneticPr fontId="4" type="noConversion"/>
  </si>
  <si>
    <t>사업비</t>
    <phoneticPr fontId="4" type="noConversion"/>
  </si>
  <si>
    <t>자체사업비합</t>
    <phoneticPr fontId="4" type="noConversion"/>
  </si>
  <si>
    <t>경비</t>
    <phoneticPr fontId="4" type="noConversion"/>
  </si>
  <si>
    <t>사업비</t>
    <phoneticPr fontId="4" type="noConversion"/>
  </si>
  <si>
    <t>자산취득비</t>
    <phoneticPr fontId="4" type="noConversion"/>
  </si>
  <si>
    <t>법인전입금</t>
    <phoneticPr fontId="4" type="noConversion"/>
  </si>
  <si>
    <t>­  2018년도사업비이월금</t>
  </si>
  <si>
    <t>200 경비</t>
    <phoneticPr fontId="4" type="noConversion"/>
  </si>
  <si>
    <t>100 인건비</t>
    <phoneticPr fontId="4" type="noConversion"/>
  </si>
  <si>
    <t>법인전입금</t>
    <phoneticPr fontId="4" type="noConversion"/>
  </si>
  <si>
    <t>자체사업자산취득비</t>
    <phoneticPr fontId="4" type="noConversion"/>
  </si>
  <si>
    <t>200 경비</t>
    <phoneticPr fontId="4" type="noConversion"/>
  </si>
  <si>
    <t>지자체출자출연금</t>
    <phoneticPr fontId="4" type="noConversion"/>
  </si>
  <si>
    <t>마두청소년수련관</t>
    <phoneticPr fontId="4" type="noConversion"/>
  </si>
  <si>
    <t>고양시청소년진로센터</t>
    <phoneticPr fontId="4" type="noConversion"/>
  </si>
  <si>
    <t>성사청소년문화의집</t>
    <phoneticPr fontId="4" type="noConversion"/>
  </si>
  <si>
    <t>탄현청소년문화의집</t>
    <phoneticPr fontId="4" type="noConversion"/>
  </si>
  <si>
    <t>주교동청소년카페</t>
    <phoneticPr fontId="4" type="noConversion"/>
  </si>
  <si>
    <t>보조금수익(출연금위탁교부)</t>
    <phoneticPr fontId="4" type="noConversion"/>
  </si>
  <si>
    <t>토당청소년수련관</t>
    <phoneticPr fontId="4" type="noConversion"/>
  </si>
  <si>
    <t>국도시비보조금</t>
    <phoneticPr fontId="4" type="noConversion"/>
  </si>
  <si>
    <t>사무국</t>
    <phoneticPr fontId="4" type="noConversion"/>
  </si>
  <si>
    <t>고양시청소년진로센터</t>
    <phoneticPr fontId="4" type="noConversion"/>
  </si>
  <si>
    <t>토당청소년수련관</t>
    <phoneticPr fontId="4" type="noConversion"/>
  </si>
  <si>
    <t>재단지원금</t>
    <phoneticPr fontId="4" type="noConversion"/>
  </si>
  <si>
    <t>이월금 및 출자출연금</t>
    <phoneticPr fontId="4" type="noConversion"/>
  </si>
  <si>
    <t>사무국</t>
    <phoneticPr fontId="4" type="noConversion"/>
  </si>
  <si>
    <t>마두청소년수련관</t>
    <phoneticPr fontId="4" type="noConversion"/>
  </si>
  <si>
    <t>성사청소년문화의집</t>
    <phoneticPr fontId="4" type="noConversion"/>
  </si>
  <si>
    <t>고양시청소년상담복지센터</t>
    <phoneticPr fontId="4" type="noConversion"/>
  </si>
  <si>
    <t>사무국</t>
    <phoneticPr fontId="4" type="noConversion"/>
  </si>
  <si>
    <t>고양시청소년진로센터</t>
    <phoneticPr fontId="4" type="noConversion"/>
  </si>
  <si>
    <t>탄현청소년문화의집</t>
    <phoneticPr fontId="4" type="noConversion"/>
  </si>
  <si>
    <t>주교동청소년카페</t>
    <phoneticPr fontId="4" type="noConversion"/>
  </si>
  <si>
    <t>일산서구청소년수련관</t>
    <phoneticPr fontId="4" type="noConversion"/>
  </si>
  <si>
    <t>토당청소년수련관</t>
    <phoneticPr fontId="4" type="noConversion"/>
  </si>
  <si>
    <t>화정청소년카페</t>
    <phoneticPr fontId="4" type="noConversion"/>
  </si>
  <si>
    <t>교육청사업비</t>
    <phoneticPr fontId="4" type="noConversion"/>
  </si>
  <si>
    <t>기타보조금사업비</t>
    <phoneticPr fontId="4" type="noConversion"/>
  </si>
  <si>
    <t>성과급</t>
    <phoneticPr fontId="4" type="noConversion"/>
  </si>
  <si>
    <t>예비비</t>
    <phoneticPr fontId="4" type="noConversion"/>
  </si>
  <si>
    <t>목적사업비</t>
    <phoneticPr fontId="4" type="noConversion"/>
  </si>
  <si>
    <t>경비</t>
    <phoneticPr fontId="4" type="noConversion"/>
  </si>
  <si>
    <t>인건비</t>
    <phoneticPr fontId="4" type="noConversion"/>
  </si>
  <si>
    <t>사업비용</t>
    <phoneticPr fontId="4" type="noConversion"/>
  </si>
  <si>
    <t>마두청소년수련관</t>
    <phoneticPr fontId="4" type="noConversion"/>
  </si>
  <si>
    <t>일산서구청소년수련관</t>
    <phoneticPr fontId="4" type="noConversion"/>
  </si>
  <si>
    <t>토당청소년수련관</t>
    <phoneticPr fontId="4" type="noConversion"/>
  </si>
  <si>
    <t>사무국</t>
    <phoneticPr fontId="4" type="noConversion"/>
  </si>
  <si>
    <t>성사청소년문화의집</t>
    <phoneticPr fontId="4" type="noConversion"/>
  </si>
  <si>
    <t>2019년 고양시청소년재단 사무국 세입예산서(안)</t>
    <phoneticPr fontId="5" type="noConversion"/>
  </si>
  <si>
    <t>2019년 마두청소년수련관 세입예산서(안)</t>
  </si>
  <si>
    <t>2019년 고양시청소년진로센터 세입예산서(안)</t>
  </si>
  <si>
    <t>2019년 성사청소년문화의집 세입예산서(안)</t>
  </si>
  <si>
    <t>2019년 탄현청소년문화의집 세입예산서(안)</t>
  </si>
  <si>
    <t>2019년 주교동청소년카페 세입예산서(안)</t>
  </si>
  <si>
    <t>2019년 일산서구청소년수련관 세입예산서(안)</t>
  </si>
  <si>
    <t>2019년 토당청소년수련관 세입예산서(안)</t>
  </si>
  <si>
    <t>2019년 고양시청소년상담복지센터 세입예산서(안)</t>
  </si>
  <si>
    <t>2019년 화정청소년카페 세입예산서(안)</t>
  </si>
  <si>
    <t>2019년 백마역청소년카페 세입예산서(안)</t>
    <phoneticPr fontId="4" type="noConversion"/>
  </si>
  <si>
    <t>2019년 고양시청소년재단사무국 세출예산서(안)</t>
  </si>
  <si>
    <t>2019년 마두청소년수련관 세출예산서(안)</t>
  </si>
  <si>
    <t>2019년 고양시청소년진로센터 세출예산서(안)</t>
  </si>
  <si>
    <t>2019년 성사청소년문화의집 세출예산서(안)</t>
  </si>
  <si>
    <t>2019년 탄현청소년문화의집 세출예산서(안)</t>
  </si>
  <si>
    <t>2019년 주교동청소년카페 세출예산서(안)</t>
  </si>
  <si>
    <t>2019년 백마역청소년카페 세출예산서(안)</t>
    <phoneticPr fontId="4" type="noConversion"/>
  </si>
  <si>
    <t>2019년 능곡역청소년카페 세출예산서(안)</t>
    <phoneticPr fontId="4" type="noConversion"/>
  </si>
  <si>
    <t>2019년 능곡역청소년카페 세입예산서(안)</t>
    <phoneticPr fontId="4" type="noConversion"/>
  </si>
  <si>
    <t>ㅇ 시책추진업무추진비</t>
    <phoneticPr fontId="4" type="noConversion"/>
  </si>
  <si>
    <t>ㅇ 부서운영업무추진비</t>
    <phoneticPr fontId="4" type="noConversion"/>
  </si>
  <si>
    <t>ㅇ 정원가산업무추진비</t>
    <phoneticPr fontId="4" type="noConversion"/>
  </si>
  <si>
    <t>고양시청소년진로센터</t>
    <phoneticPr fontId="4" type="noConversion"/>
  </si>
  <si>
    <t>성사청소년문화의집</t>
    <phoneticPr fontId="4" type="noConversion"/>
  </si>
  <si>
    <t>탄현청소년문화의집</t>
    <phoneticPr fontId="4" type="noConversion"/>
  </si>
  <si>
    <t>주교동청소년카페</t>
    <phoneticPr fontId="4" type="noConversion"/>
  </si>
  <si>
    <t>일산서구청소년수련관</t>
    <phoneticPr fontId="4" type="noConversion"/>
  </si>
  <si>
    <t>토당청소년수련관</t>
    <phoneticPr fontId="4" type="noConversion"/>
  </si>
  <si>
    <t>고양시청소년상담복지센터</t>
    <phoneticPr fontId="4" type="noConversion"/>
  </si>
  <si>
    <t>화정청소년카페</t>
    <phoneticPr fontId="4" type="noConversion"/>
  </si>
  <si>
    <t>백마역청소년카페</t>
    <phoneticPr fontId="4" type="noConversion"/>
  </si>
  <si>
    <t>능곡역청소년카페</t>
    <phoneticPr fontId="4" type="noConversion"/>
  </si>
  <si>
    <t>2019년</t>
    <phoneticPr fontId="4" type="noConversion"/>
  </si>
  <si>
    <t>2018년</t>
    <phoneticPr fontId="4" type="noConversion"/>
  </si>
  <si>
    <t>고양시청소년상담복지센터</t>
    <phoneticPr fontId="4" type="noConversion"/>
  </si>
  <si>
    <t>마두청소년수련관</t>
    <phoneticPr fontId="4" type="noConversion"/>
  </si>
  <si>
    <t>고양시청소년진로센터</t>
    <phoneticPr fontId="4" type="noConversion"/>
  </si>
  <si>
    <t>성사청소년문화의집</t>
    <phoneticPr fontId="4" type="noConversion"/>
  </si>
  <si>
    <t>일산서구청소년수련관</t>
    <phoneticPr fontId="4" type="noConversion"/>
  </si>
  <si>
    <t>토당청소년수련관</t>
    <phoneticPr fontId="4" type="noConversion"/>
  </si>
  <si>
    <t>화정청소년카페</t>
    <phoneticPr fontId="4" type="noConversion"/>
  </si>
  <si>
    <t>백마역청소년카페</t>
    <phoneticPr fontId="4" type="noConversion"/>
  </si>
  <si>
    <t>능곡역청소년카페</t>
    <phoneticPr fontId="4" type="noConversion"/>
  </si>
  <si>
    <t>2019년 세입·세출예산(안) 세부 총괄표</t>
    <phoneticPr fontId="5" type="noConversion"/>
  </si>
  <si>
    <t>2019년 시설별 예산(안) 총괄표</t>
    <phoneticPr fontId="5" type="noConversion"/>
  </si>
  <si>
    <t xml:space="preserve">   · 일반직</t>
    <phoneticPr fontId="4" type="noConversion"/>
  </si>
  <si>
    <t xml:space="preserve">   · 무기계약직</t>
    <phoneticPr fontId="4" type="noConversion"/>
  </si>
  <si>
    <t>ㅇ자녀학비보조수당</t>
    <phoneticPr fontId="4" type="noConversion"/>
  </si>
  <si>
    <t>- 자녀학비보조수당</t>
    <phoneticPr fontId="4" type="noConversion"/>
  </si>
  <si>
    <t xml:space="preserve">  가. 청소년 주도적 활동 및 청소년공간 확대
    - 청소년들의 자기주도적인 참여를 통해 공공선에 기여하고 사회적 가치를 실현하는 건강한  
      시민으로서의 역할 수행
    - 자율적 배움과 소통이 가능한 지역사회 내 청소년 이용시설 확대와 인접도시를 연결하는 
      이용시설 확장</t>
    <phoneticPr fontId="4" type="noConversion"/>
  </si>
  <si>
    <t xml:space="preserve">  나. 평화특별시의 주체가 되는 글로컬 역량강화
    - 국제협약 등 국제사회의 AGENDA를 일상생활 속에서 실천할 수 있는 환경을 조성하고, 
      그 과정 속에서 세계시민의 역량을 증가시킬 수 있는 글로컬 (Glocalization) 사업의 확대</t>
    <phoneticPr fontId="4" type="noConversion"/>
  </si>
  <si>
    <t xml:space="preserve">  다. 4차 산업혁명에 대응할 수 있는 진로사업 확대
    - 4차 산업혁명 등 급변하는 사회 환경에 대응할 수 있는 진로‧직업 역량 지원 체계 구축을 
      통해 과학기술‧산업분야의 주역이 될 수 있는 창의적 융합인재 성장 지원</t>
    <phoneticPr fontId="4" type="noConversion"/>
  </si>
  <si>
    <t xml:space="preserve">  라. 청소년 인권이 존중받는 청소년친화도시 조성
    - 청소년의 인권 및 권리의식 제고를 통해 청소년이 누려야 할 권리와 시민권을 보장하며, 
      청소년이 차별받지 않고 존중받는 청소년친화도시 구현</t>
    <phoneticPr fontId="4" type="noConversion"/>
  </si>
  <si>
    <t xml:space="preserve">  마. 청소년이 안전한 지원시스템 확대
    - 지역사회 청소년에 대한 종합적 사회안전망을 비롯한 안전교육 및 위기대응, 안전관리 
      지도자 역량강화 등을 통한 청소년의 안전한 생활환경 조성</t>
    <phoneticPr fontId="4" type="noConversion"/>
  </si>
  <si>
    <t xml:space="preserve">  바. 지역사회 기반의 청소년 지원체계 강화
    - 지역 협력체계 구축을 위한 협업과 자원공유, 데이터베이스를 통한 청소년과 관련된 정보와
      시각공유의 확대</t>
    <phoneticPr fontId="4" type="noConversion"/>
  </si>
  <si>
    <t xml:space="preserve">  사. 교육문화 활동을 통한 네트워크 기반 조성
    - 지역자원을 활용한 다양한 형태의 열린 학습을 확대하고, 배움의 즐거움을 알아갈 수 있는 
      소통, 상호교육을 통한 시민의 삶과 행복 증진</t>
    <phoneticPr fontId="4" type="noConversion"/>
  </si>
  <si>
    <t xml:space="preserve">  아. 혁신경영을 통한 윤리경영 및 사회적 책임 강화
    - 임직원 반부패 및 청렴활동 참여를 통한 깨끗하고 투명한 조직풍토를 조성하여, 청소년 및 
      지역주민이 공감할 수 있는 사회적 책임과 가치의 향상</t>
    <phoneticPr fontId="4" type="noConversion"/>
  </si>
  <si>
    <t xml:space="preserve">  자. 고객중심 서비스를 통한 신뢰 및 공감
    - 수요자 중심의 서비스 시스템 구축을 통한 청소년과 시민이 공감하는 시설별 맞춤형 서비스 
      개발</t>
    <phoneticPr fontId="4" type="noConversion"/>
  </si>
  <si>
    <t>제6조(채무부담행위) 채무부담행위를 할 수 있는 사항과 기간 및 한도액은 다음과 같이 정한다.</t>
    <phoneticPr fontId="4" type="noConversion"/>
  </si>
  <si>
    <t>­ 시설유지보수비</t>
    <phoneticPr fontId="5" type="noConversion"/>
  </si>
  <si>
    <t>ㅇ시설비</t>
    <phoneticPr fontId="4" type="noConversion"/>
  </si>
  <si>
    <t>­ 소장</t>
    <phoneticPr fontId="5" type="noConversion"/>
  </si>
  <si>
    <t>­ 과장</t>
    <phoneticPr fontId="5" type="noConversion"/>
  </si>
  <si>
    <t xml:space="preserve">× </t>
    <phoneticPr fontId="5" type="noConversion"/>
  </si>
  <si>
    <t>­ 15년 이상</t>
    <phoneticPr fontId="5" type="noConversion"/>
  </si>
  <si>
    <t>­ 10년 이상</t>
    <phoneticPr fontId="5" type="noConversion"/>
  </si>
  <si>
    <t>­ 5년 이상</t>
    <phoneticPr fontId="5" type="noConversion"/>
  </si>
  <si>
    <t xml:space="preserve">   ­ 소장</t>
    <phoneticPr fontId="5" type="noConversion"/>
  </si>
  <si>
    <t>­ 소장</t>
    <phoneticPr fontId="5" type="noConversion"/>
  </si>
  <si>
    <t>­ 팀원</t>
    <phoneticPr fontId="5" type="noConversion"/>
  </si>
  <si>
    <t>­ 행정원</t>
    <phoneticPr fontId="5" type="noConversion"/>
  </si>
  <si>
    <t>­ 행정원</t>
    <phoneticPr fontId="5" type="noConversion"/>
  </si>
  <si>
    <t>×</t>
    <phoneticPr fontId="5" type="noConversion"/>
  </si>
  <si>
    <t xml:space="preserve">× </t>
    <phoneticPr fontId="5" type="noConversion"/>
  </si>
  <si>
    <t>×</t>
    <phoneticPr fontId="5" type="noConversion"/>
  </si>
  <si>
    <t xml:space="preserve">× </t>
    <phoneticPr fontId="5" type="noConversion"/>
  </si>
  <si>
    <t>ㅇ학교 밖 지원센터 꿈드림</t>
    <phoneticPr fontId="5" type="noConversion"/>
  </si>
  <si>
    <t xml:space="preserve">   - 기본급(팀원 4명)</t>
    <phoneticPr fontId="5" type="noConversion"/>
  </si>
  <si>
    <t>×</t>
    <phoneticPr fontId="5" type="noConversion"/>
  </si>
  <si>
    <t>=</t>
    <phoneticPr fontId="5" type="noConversion"/>
  </si>
  <si>
    <t xml:space="preserve">   - 자격수당(팀원 4명)</t>
    <phoneticPr fontId="5" type="noConversion"/>
  </si>
  <si>
    <t>=</t>
    <phoneticPr fontId="5" type="noConversion"/>
  </si>
  <si>
    <t xml:space="preserve">   - 가족수당(팀원 2명)</t>
    <phoneticPr fontId="5" type="noConversion"/>
  </si>
  <si>
    <t>×</t>
    <phoneticPr fontId="5" type="noConversion"/>
  </si>
  <si>
    <t>ㅇ청소년동반자프로그램</t>
    <phoneticPr fontId="5" type="noConversion"/>
  </si>
  <si>
    <t xml:space="preserve">  ­ 직급보조비 </t>
    <phoneticPr fontId="5" type="noConversion"/>
  </si>
  <si>
    <t xml:space="preserve">  ­ 자격수당</t>
    <phoneticPr fontId="5" type="noConversion"/>
  </si>
  <si>
    <t xml:space="preserve">  - 교통비</t>
    <phoneticPr fontId="5" type="noConversion"/>
  </si>
  <si>
    <t xml:space="preserve">  - 정근수당(팀원 2명)</t>
    <phoneticPr fontId="5" type="noConversion"/>
  </si>
  <si>
    <t xml:space="preserve">  - 정근수당(팀원 2명)</t>
    <phoneticPr fontId="5" type="noConversion"/>
  </si>
  <si>
    <t>ㅇ경기도 학교 밖 프로그램운영</t>
    <phoneticPr fontId="5" type="noConversion"/>
  </si>
  <si>
    <t xml:space="preserve">  - 기본급(팀원 1명)</t>
    <phoneticPr fontId="5" type="noConversion"/>
  </si>
  <si>
    <t xml:space="preserve">  - 가족수당</t>
    <phoneticPr fontId="5" type="noConversion"/>
  </si>
  <si>
    <t xml:space="preserve">  - 자격수당</t>
    <phoneticPr fontId="5" type="noConversion"/>
  </si>
  <si>
    <t xml:space="preserve">  ­ 직급보조비 </t>
    <phoneticPr fontId="5" type="noConversion"/>
  </si>
  <si>
    <t xml:space="preserve">  ­ 자격수당</t>
    <phoneticPr fontId="5" type="noConversion"/>
  </si>
  <si>
    <t xml:space="preserve">  - 교통비</t>
    <phoneticPr fontId="5" type="noConversion"/>
  </si>
  <si>
    <t xml:space="preserve">  - 정근수당(팀원 가)</t>
    <phoneticPr fontId="5" type="noConversion"/>
  </si>
  <si>
    <t xml:space="preserve">  - 정근수당(팀원 나)</t>
    <phoneticPr fontId="5" type="noConversion"/>
  </si>
  <si>
    <t xml:space="preserve">  - 정근수당(팀원 나)</t>
    <phoneticPr fontId="5" type="noConversion"/>
  </si>
  <si>
    <t>×</t>
    <phoneticPr fontId="5" type="noConversion"/>
  </si>
  <si>
    <t>­ 소장,과장1명,팀장1명,팀원1명</t>
    <phoneticPr fontId="5" type="noConversion"/>
  </si>
  <si>
    <t>2019년 화정청소년카페 세출예산서(안)</t>
  </si>
  <si>
    <t>[일반회계]</t>
    <phoneticPr fontId="4" type="noConversion"/>
  </si>
  <si>
    <t>(단위:천원)</t>
    <phoneticPr fontId="4" type="noConversion"/>
  </si>
  <si>
    <t>산출내역</t>
    <phoneticPr fontId="4" type="noConversion"/>
  </si>
  <si>
    <t>화정청소년카페</t>
    <phoneticPr fontId="4" type="noConversion"/>
  </si>
  <si>
    <t>700 사업비용</t>
    <phoneticPr fontId="4" type="noConversion"/>
  </si>
  <si>
    <t>100 인건비</t>
    <phoneticPr fontId="4" type="noConversion"/>
  </si>
  <si>
    <t>본예산합</t>
    <phoneticPr fontId="4" type="noConversion"/>
  </si>
  <si>
    <t>인건비</t>
    <phoneticPr fontId="4" type="noConversion"/>
  </si>
  <si>
    <t xml:space="preserve">- 센터장(상근) </t>
    <phoneticPr fontId="5" type="noConversion"/>
  </si>
  <si>
    <t>경비</t>
    <phoneticPr fontId="4" type="noConversion"/>
  </si>
  <si>
    <t xml:space="preserve">- 팀장(상근) </t>
    <phoneticPr fontId="5" type="noConversion"/>
  </si>
  <si>
    <t>자산취득비</t>
    <phoneticPr fontId="4" type="noConversion"/>
  </si>
  <si>
    <t>- 사원</t>
    <phoneticPr fontId="5" type="noConversion"/>
  </si>
  <si>
    <t>목적사업비</t>
    <phoneticPr fontId="4" type="noConversion"/>
  </si>
  <si>
    <t>자체사업합</t>
    <phoneticPr fontId="4" type="noConversion"/>
  </si>
  <si>
    <t>사업비</t>
    <phoneticPr fontId="4" type="noConversion"/>
  </si>
  <si>
    <t>ㅇ자격수당</t>
    <phoneticPr fontId="5" type="noConversion"/>
  </si>
  <si>
    <t>기타영업외비용</t>
    <phoneticPr fontId="4" type="noConversion"/>
  </si>
  <si>
    <t>- 시간외및당직근무수당</t>
    <phoneticPr fontId="5" type="noConversion"/>
  </si>
  <si>
    <t>ㅇ명절휴가비</t>
    <phoneticPr fontId="5" type="noConversion"/>
  </si>
  <si>
    <t>- 팀장 및 사원</t>
  </si>
  <si>
    <t>=</t>
    <phoneticPr fontId="5" type="noConversion"/>
  </si>
  <si>
    <t>200 경비</t>
    <phoneticPr fontId="4" type="noConversion"/>
  </si>
  <si>
    <t>­ 국민연금부담금</t>
    <phoneticPr fontId="4" type="noConversion"/>
  </si>
  <si>
    <t xml:space="preserve">× </t>
    <phoneticPr fontId="4" type="noConversion"/>
  </si>
  <si>
    <t>=</t>
    <phoneticPr fontId="4" type="noConversion"/>
  </si>
  <si>
    <t>­ 국민건강보험부담금</t>
    <phoneticPr fontId="4" type="noConversion"/>
  </si>
  <si>
    <t>­ 장기요양보험부담금</t>
    <phoneticPr fontId="4" type="noConversion"/>
  </si>
  <si>
    <t>­ 고용보험부담금</t>
    <phoneticPr fontId="4" type="noConversion"/>
  </si>
  <si>
    <t>­ 산재보험부담금</t>
    <phoneticPr fontId="4" type="noConversion"/>
  </si>
  <si>
    <t xml:space="preserve">­ 사무용품, 재료비, 소모품 </t>
  </si>
  <si>
    <t>­ 정기간행물 및 신문</t>
    <phoneticPr fontId="5" type="noConversion"/>
  </si>
  <si>
    <t>­ 복합기임차료</t>
    <phoneticPr fontId="4" type="noConversion"/>
  </si>
  <si>
    <t>- 포스임차료</t>
    <phoneticPr fontId="4" type="noConversion"/>
  </si>
  <si>
    <t>­ 공기청정기 임차료(2대)</t>
    <phoneticPr fontId="5" type="noConversion"/>
  </si>
  <si>
    <t>­ 소방, 전기, 통신,냉난방 등 유지관리비</t>
  </si>
  <si>
    <t>­ 건축설비, 상하수도 유지관리비</t>
    <phoneticPr fontId="5" type="noConversion"/>
  </si>
  <si>
    <t>- 일반화재보험</t>
  </si>
  <si>
    <t>- 영업배상책임</t>
  </si>
  <si>
    <t>- 다중화재보험</t>
  </si>
  <si>
    <t>- 신원보증보험</t>
  </si>
  <si>
    <t>ㅇ지급수수료</t>
    <phoneticPr fontId="4" type="noConversion"/>
  </si>
  <si>
    <t xml:space="preserve">  - 청소용역비</t>
  </si>
  <si>
    <t xml:space="preserve">  - 무인경비용역수수료</t>
    <phoneticPr fontId="4" type="noConversion"/>
  </si>
  <si>
    <t xml:space="preserve">  - 세무사기장료</t>
  </si>
  <si>
    <t xml:space="preserve">  - 2018년결산조정수수료</t>
  </si>
  <si>
    <t>ㅇ청소년사업교육훈련</t>
  </si>
  <si>
    <t xml:space="preserve">­ 강의, 프로그램 수강 </t>
  </si>
  <si>
    <t>405 자산취득비</t>
    <phoneticPr fontId="5" type="noConversion"/>
  </si>
  <si>
    <t>­ 카페테리아 가구 및 가전 구입</t>
    <phoneticPr fontId="5" type="noConversion"/>
  </si>
  <si>
    <t>722 목적사업비</t>
    <phoneticPr fontId="4" type="noConversion"/>
  </si>
  <si>
    <t xml:space="preserve">ㅇ톡톡톡 청소년운영위원회 </t>
  </si>
  <si>
    <t>- 기획력강화인문학 강사비</t>
    <phoneticPr fontId="5" type="noConversion"/>
  </si>
  <si>
    <t xml:space="preserve">­ 워크샵 진행비 </t>
  </si>
  <si>
    <t xml:space="preserve">­ 진행비 및 다과비  </t>
  </si>
  <si>
    <t xml:space="preserve">ㅇ청소년 자치활동 </t>
  </si>
  <si>
    <t xml:space="preserve">­ 웹활용 진행비 </t>
  </si>
  <si>
    <t xml:space="preserve">­ 자발적 동아리 진행비 </t>
  </si>
  <si>
    <t xml:space="preserve">ㅇ청소년 자발적 봉사활동 </t>
  </si>
  <si>
    <t>- 다과비</t>
  </si>
  <si>
    <t>- 재료비</t>
  </si>
  <si>
    <t xml:space="preserve">ㅇ청소년도 체인지메이커 </t>
  </si>
  <si>
    <t>- 강사비</t>
  </si>
  <si>
    <t>- 다과비 및 재료비</t>
  </si>
  <si>
    <t>- 현장견학 및 진행비</t>
    <phoneticPr fontId="4" type="noConversion"/>
  </si>
  <si>
    <t>ㅇ자율적문화공간 운영</t>
  </si>
  <si>
    <t>-  북카페 도서비</t>
  </si>
  <si>
    <t>-  청소년 권장도서 운영단 진행비</t>
  </si>
  <si>
    <t>-  전시장 운영비</t>
  </si>
  <si>
    <t>ㅇ톡톡톡 프리존</t>
  </si>
  <si>
    <t>ㅇ톡톡톡지원 마을기획봉사단</t>
  </si>
  <si>
    <t xml:space="preserve">ㅇ지역청소년 일자리사업 </t>
  </si>
  <si>
    <t>-  인턴 인건비</t>
  </si>
  <si>
    <t>ㅇ청소년 애프터스쿨</t>
  </si>
  <si>
    <t>- 인문학강사비</t>
  </si>
  <si>
    <t>- 인문학 체험프로그램 멘토비</t>
  </si>
  <si>
    <t>- 다과비및 진행비</t>
  </si>
  <si>
    <t>ㅇ청소년자립학교-의생활</t>
  </si>
  <si>
    <t>-  강사비</t>
  </si>
  <si>
    <t>-  수업재료비</t>
  </si>
  <si>
    <t>-  다과비</t>
  </si>
  <si>
    <t>ㅇ청소년자립학교-식생활</t>
  </si>
  <si>
    <t>ㅇ청소년자립학교-주생활</t>
  </si>
  <si>
    <t xml:space="preserve">ㅇ마을기반진로탐색교실 </t>
  </si>
  <si>
    <t>-  다과비및 진행비</t>
  </si>
  <si>
    <t>ㅇ청소년시민스쿨</t>
  </si>
  <si>
    <t>-  주강사비</t>
  </si>
  <si>
    <t>-  설문조사 진행비</t>
  </si>
  <si>
    <t>ㅇ톡톡톡 홍보사업</t>
  </si>
  <si>
    <t>-  홍보물 디자인비</t>
  </si>
  <si>
    <t>100 인건비</t>
    <phoneticPr fontId="5" type="noConversion"/>
  </si>
  <si>
    <t>­ 북카페 아르바이트</t>
  </si>
  <si>
    <t>­ 북카페 아르바이트 주휴수당</t>
  </si>
  <si>
    <t>200 경비</t>
    <phoneticPr fontId="5" type="noConversion"/>
  </si>
  <si>
    <t>ㅇ소모품비</t>
    <phoneticPr fontId="5" type="noConversion"/>
  </si>
  <si>
    <t>­ 소모품 및 비상약품</t>
    <phoneticPr fontId="5" type="noConversion"/>
  </si>
  <si>
    <t>ㅇ청소년카페 톡톡톡 운영</t>
    <phoneticPr fontId="4" type="noConversion"/>
  </si>
  <si>
    <t>­ 재료구입비</t>
    <phoneticPr fontId="4" type="noConversion"/>
  </si>
  <si>
    <t>775 기타영업외비용</t>
    <phoneticPr fontId="4" type="noConversion"/>
  </si>
  <si>
    <t xml:space="preserve">­ 4대 보험 및 산재보험 </t>
    <phoneticPr fontId="4" type="noConversion"/>
  </si>
  <si>
    <t>마두청소년수련관</t>
    <phoneticPr fontId="4" type="noConversion"/>
  </si>
  <si>
    <t>일산서구청소년수련관</t>
    <phoneticPr fontId="4" type="noConversion"/>
  </si>
  <si>
    <t>성사청소년문화의집</t>
    <phoneticPr fontId="4" type="noConversion"/>
  </si>
  <si>
    <t>자체사업수익</t>
    <phoneticPr fontId="4" type="noConversion"/>
  </si>
  <si>
    <t>이자수익</t>
    <phoneticPr fontId="4" type="noConversion"/>
  </si>
  <si>
    <t>보조금수익</t>
    <phoneticPr fontId="4" type="noConversion"/>
  </si>
  <si>
    <t>법인전입금</t>
    <phoneticPr fontId="4" type="noConversion"/>
  </si>
  <si>
    <t>이월액</t>
    <phoneticPr fontId="4" type="noConversion"/>
  </si>
  <si>
    <t>`</t>
    <phoneticPr fontId="4" type="noConversion"/>
  </si>
  <si>
    <t>합계</t>
    <phoneticPr fontId="5" type="noConversion"/>
  </si>
  <si>
    <t>출연금</t>
    <phoneticPr fontId="4" type="noConversion"/>
  </si>
  <si>
    <t>보조금</t>
    <phoneticPr fontId="4" type="noConversion"/>
  </si>
  <si>
    <t>자부담</t>
    <phoneticPr fontId="5" type="noConversion"/>
  </si>
  <si>
    <t>출연금</t>
    <phoneticPr fontId="4" type="noConversion"/>
  </si>
  <si>
    <t>합계</t>
    <phoneticPr fontId="5" type="noConversion"/>
  </si>
  <si>
    <t>보조금</t>
    <phoneticPr fontId="4" type="noConversion"/>
  </si>
  <si>
    <t>자부담</t>
    <phoneticPr fontId="5" type="noConversion"/>
  </si>
  <si>
    <t>증감액(A-B)</t>
    <phoneticPr fontId="5" type="noConversion"/>
  </si>
  <si>
    <t>증감률</t>
    <phoneticPr fontId="4" type="noConversion"/>
  </si>
  <si>
    <t>합계</t>
    <phoneticPr fontId="4" type="noConversion"/>
  </si>
  <si>
    <t>- 기본급</t>
    <phoneticPr fontId="4" type="noConversion"/>
  </si>
  <si>
    <t>­ 인사회계 프로그램 유지보수</t>
    <phoneticPr fontId="4" type="noConversion"/>
  </si>
  <si>
    <t>­ 그룹웨어 유지보수</t>
    <phoneticPr fontId="4" type="noConversion"/>
  </si>
  <si>
    <t>­ ERP시스템 유지보수</t>
    <phoneticPr fontId="4" type="noConversion"/>
  </si>
  <si>
    <t>­ 클라우드서버 임차료</t>
    <phoneticPr fontId="4" type="noConversion"/>
  </si>
  <si>
    <t>­ 관용차 임차료</t>
    <phoneticPr fontId="4" type="noConversion"/>
  </si>
  <si>
    <t>­ 복합기/프린트 임차료</t>
    <phoneticPr fontId="4" type="noConversion"/>
  </si>
  <si>
    <t>­ 청소년자원봉사동아리</t>
    <phoneticPr fontId="5" type="noConversion"/>
  </si>
  <si>
    <t xml:space="preserve">   - 청소년자율동아리</t>
    <phoneticPr fontId="5" type="noConversion"/>
  </si>
  <si>
    <t xml:space="preserve">   - 청소년동아리연합회</t>
    <phoneticPr fontId="5" type="noConversion"/>
  </si>
  <si>
    <t>ㅇ 조직진단컨설팅</t>
    <phoneticPr fontId="5" type="noConversion"/>
  </si>
  <si>
    <t>녹지휴게공간조성</t>
    <phoneticPr fontId="4" type="noConversion"/>
  </si>
  <si>
    <t>ㅇ시설비</t>
  </si>
  <si>
    <t>­ 녹지휴게공간조성</t>
    <phoneticPr fontId="4" type="noConversion"/>
  </si>
  <si>
    <t>ㅇ고양시청소년정책기본계획수립</t>
    <phoneticPr fontId="4" type="noConversion"/>
  </si>
  <si>
    <t xml:space="preserve">    - 공모사업비</t>
    <phoneticPr fontId="5" type="noConversion"/>
  </si>
  <si>
    <t>- 휴카페 컴퓨터 구입</t>
    <phoneticPr fontId="5" type="noConversion"/>
  </si>
  <si>
    <t>인건비</t>
    <phoneticPr fontId="4" type="noConversion"/>
  </si>
  <si>
    <t>운영비</t>
    <phoneticPr fontId="4" type="noConversion"/>
  </si>
  <si>
    <t>자산취득비</t>
    <phoneticPr fontId="4" type="noConversion"/>
  </si>
  <si>
    <t>성과급</t>
    <phoneticPr fontId="4" type="noConversion"/>
  </si>
  <si>
    <t>예비비</t>
    <phoneticPr fontId="4" type="noConversion"/>
  </si>
  <si>
    <t>사업비</t>
    <phoneticPr fontId="4" type="noConversion"/>
  </si>
  <si>
    <t>v</t>
    <phoneticPr fontId="4" type="noConversion"/>
  </si>
  <si>
    <t>ㅇ단위사업/생각을나누고만들다</t>
    <phoneticPr fontId="5" type="noConversion"/>
  </si>
  <si>
    <t>인건비</t>
    <phoneticPr fontId="4" type="noConversion"/>
  </si>
  <si>
    <t>운영비</t>
    <phoneticPr fontId="4" type="noConversion"/>
  </si>
  <si>
    <t>사업비</t>
    <phoneticPr fontId="4" type="noConversion"/>
  </si>
  <si>
    <t>인건비</t>
    <phoneticPr fontId="4" type="noConversion"/>
  </si>
  <si>
    <t>운영비</t>
    <phoneticPr fontId="4" type="noConversion"/>
  </si>
  <si>
    <t>사업비</t>
    <phoneticPr fontId="4" type="noConversion"/>
  </si>
  <si>
    <t>623-1 경기도교육청</t>
  </si>
  <si>
    <t>­ 가구구입(사무용의자)</t>
  </si>
  <si>
    <t>­ 기자재구입(빔프로젝터)</t>
  </si>
  <si>
    <t>­ 기관운영업무추진비</t>
    <phoneticPr fontId="5" type="noConversion"/>
  </si>
  <si>
    <t>­ 시책추진업무추진비</t>
  </si>
  <si>
    <t>­ 부서운영업무추진비</t>
    <phoneticPr fontId="4" type="noConversion"/>
  </si>
  <si>
    <t>­ 부서운영업무추진비</t>
    <phoneticPr fontId="4" type="noConversion"/>
  </si>
  <si>
    <t xml:space="preserve">× </t>
    <phoneticPr fontId="4" type="noConversion"/>
  </si>
  <si>
    <t>­ 시책추진업무추진비</t>
    <phoneticPr fontId="4" type="noConversion"/>
  </si>
  <si>
    <t>ㅇ고양형평화통일사업</t>
  </si>
  <si>
    <t>ㅇ청소년문화캠프</t>
  </si>
  <si>
    <t>­ 청소용소모품비</t>
    <phoneticPr fontId="4" type="noConversion"/>
  </si>
  <si>
    <t>­ 강사비</t>
    <phoneticPr fontId="5" type="noConversion"/>
  </si>
  <si>
    <t>­ 회의비</t>
    <phoneticPr fontId="5" type="noConversion"/>
  </si>
  <si>
    <t>­ 예비회의비</t>
    <phoneticPr fontId="5" type="noConversion"/>
  </si>
  <si>
    <t>­ 본회의(1박2일캠프)</t>
    <phoneticPr fontId="5" type="noConversion"/>
  </si>
  <si>
    <t>­ 홍보비</t>
    <phoneticPr fontId="5" type="noConversion"/>
  </si>
  <si>
    <t>­ 평화통일프로젝트운영비(교육 및 캠프)</t>
    <phoneticPr fontId="5" type="noConversion"/>
  </si>
  <si>
    <t>- 활동진행비</t>
    <phoneticPr fontId="5" type="noConversion"/>
  </si>
  <si>
    <t>­ 운영비(강사료,홍보비등)</t>
    <phoneticPr fontId="5" type="noConversion"/>
  </si>
  <si>
    <t>­ 시설워크숍 운영비(재료비 등)</t>
    <phoneticPr fontId="63" type="noConversion"/>
  </si>
  <si>
    <t xml:space="preserve">× </t>
    <phoneticPr fontId="63" type="noConversion"/>
  </si>
  <si>
    <t>­ 시설워크숍 숙식비</t>
    <phoneticPr fontId="63" type="noConversion"/>
  </si>
  <si>
    <t>­ 강사료(자유학기제)</t>
    <phoneticPr fontId="5" type="noConversion"/>
  </si>
  <si>
    <t>­ 운영비(자유학기제)</t>
    <phoneticPr fontId="5" type="noConversion"/>
  </si>
  <si>
    <t>­ 강사료(자아탐색프로젝트)</t>
    <phoneticPr fontId="5" type="noConversion"/>
  </si>
  <si>
    <t>­ 운영비(자아탐색프로젝트)</t>
    <phoneticPr fontId="5" type="noConversion"/>
  </si>
  <si>
    <t>­ 강사료(수능후특강)</t>
    <phoneticPr fontId="5" type="noConversion"/>
  </si>
  <si>
    <t>­ 운영비(수능후특강)</t>
    <phoneticPr fontId="5" type="noConversion"/>
  </si>
  <si>
    <t>- 교육활동 프로그램 홍보비</t>
    <phoneticPr fontId="5" type="noConversion"/>
  </si>
  <si>
    <t>- 홍보사업 운영비</t>
    <phoneticPr fontId="5" type="noConversion"/>
  </si>
  <si>
    <t>- 출판물제작운영비</t>
    <phoneticPr fontId="5" type="noConversion"/>
  </si>
  <si>
    <t>- 기념품제작비</t>
    <phoneticPr fontId="5" type="noConversion"/>
  </si>
  <si>
    <t>- 기타운영비</t>
    <phoneticPr fontId="5" type="noConversion"/>
  </si>
  <si>
    <t xml:space="preserve">   - 교육활동 강사비</t>
    <phoneticPr fontId="4" type="noConversion"/>
  </si>
  <si>
    <t>=</t>
    <phoneticPr fontId="5" type="noConversion"/>
  </si>
  <si>
    <t xml:space="preserve">   - 발표및전시회</t>
    <phoneticPr fontId="4" type="noConversion"/>
  </si>
  <si>
    <t xml:space="preserve">× </t>
    <phoneticPr fontId="4" type="noConversion"/>
  </si>
  <si>
    <t>=</t>
    <phoneticPr fontId="5" type="noConversion"/>
  </si>
  <si>
    <t xml:space="preserve">   - 강사간담회운영비</t>
    <phoneticPr fontId="4" type="noConversion"/>
  </si>
  <si>
    <t xml:space="preserve">× </t>
    <phoneticPr fontId="4" type="noConversion"/>
  </si>
  <si>
    <t xml:space="preserve">   - 회원관리프로그램운영비</t>
    <phoneticPr fontId="4" type="noConversion"/>
  </si>
  <si>
    <t>=</t>
    <phoneticPr fontId="5" type="noConversion"/>
  </si>
  <si>
    <t xml:space="preserve">   - 문자서비스이용</t>
    <phoneticPr fontId="4" type="noConversion"/>
  </si>
  <si>
    <t xml:space="preserve">   - 카드수수료</t>
    <phoneticPr fontId="4" type="noConversion"/>
  </si>
  <si>
    <t xml:space="preserve">   - 프로그램유지관리비</t>
    <phoneticPr fontId="4" type="noConversion"/>
  </si>
  <si>
    <t>- 문화예술프로그램 강사비</t>
    <phoneticPr fontId="5" type="noConversion"/>
  </si>
  <si>
    <t>- 문화예술프로그램 홍보비</t>
    <phoneticPr fontId="5" type="noConversion"/>
  </si>
  <si>
    <t>- 문화예술프로그램 운영비</t>
    <phoneticPr fontId="5" type="noConversion"/>
  </si>
  <si>
    <t>­ 금요키즈시네마 간식비</t>
    <phoneticPr fontId="5" type="noConversion"/>
  </si>
  <si>
    <t>­ 크리스마스 파티 재료비</t>
    <phoneticPr fontId="5" type="noConversion"/>
  </si>
  <si>
    <t>­ 크리스마스 파티 간식비</t>
    <phoneticPr fontId="5" type="noConversion"/>
  </si>
  <si>
    <t>­ 더불어사는마을 강사비</t>
    <phoneticPr fontId="5" type="noConversion"/>
  </si>
  <si>
    <t>=</t>
    <phoneticPr fontId="5" type="noConversion"/>
  </si>
  <si>
    <t>­ 더불어사는마을 재료비</t>
    <phoneticPr fontId="5" type="noConversion"/>
  </si>
  <si>
    <t>­ 더불어사는마을 간식비</t>
    <phoneticPr fontId="5" type="noConversion"/>
  </si>
  <si>
    <t>- 더불어사는마을 체험비</t>
    <phoneticPr fontId="4" type="noConversion"/>
  </si>
  <si>
    <t>=</t>
    <phoneticPr fontId="4" type="noConversion"/>
  </si>
  <si>
    <t>­ 전문위원회 운영비</t>
    <phoneticPr fontId="5" type="noConversion"/>
  </si>
  <si>
    <t>×</t>
    <phoneticPr fontId="5" type="noConversion"/>
  </si>
  <si>
    <t>­ 전문위원회 식비</t>
    <phoneticPr fontId="5" type="noConversion"/>
  </si>
  <si>
    <t>­ 전문위원회 식비(간식비)</t>
    <phoneticPr fontId="4" type="noConversion"/>
  </si>
  <si>
    <t>=</t>
    <phoneticPr fontId="4" type="noConversion"/>
  </si>
  <si>
    <t>­ 인사위원회 회의운영비</t>
    <phoneticPr fontId="5" type="noConversion"/>
  </si>
  <si>
    <t>­ 인사위원회 참석수당</t>
    <phoneticPr fontId="5" type="noConversion"/>
  </si>
  <si>
    <t>­ 이사회 참석수당</t>
    <phoneticPr fontId="5" type="noConversion"/>
  </si>
  <si>
    <t>­ 이사회 운영비</t>
    <phoneticPr fontId="5" type="noConversion"/>
  </si>
  <si>
    <t>­ 운영위원회 참석수당</t>
    <phoneticPr fontId="5" type="noConversion"/>
  </si>
  <si>
    <t>­ 회의운영비</t>
    <phoneticPr fontId="5" type="noConversion"/>
  </si>
  <si>
    <t>­ 운영위원회 운영비</t>
    <phoneticPr fontId="5" type="noConversion"/>
  </si>
  <si>
    <t>­ 채용심사 참석수당</t>
    <phoneticPr fontId="5" type="noConversion"/>
  </si>
  <si>
    <t>­ 채용심사 운영비</t>
    <phoneticPr fontId="5" type="noConversion"/>
  </si>
  <si>
    <t>- 고출력 앰프</t>
    <phoneticPr fontId="4" type="noConversion"/>
  </si>
  <si>
    <t xml:space="preserve">× </t>
    <phoneticPr fontId="4" type="noConversion"/>
  </si>
  <si>
    <t>=</t>
    <phoneticPr fontId="4" type="noConversion"/>
  </si>
  <si>
    <t>- 블루투스 스피커</t>
    <phoneticPr fontId="4" type="noConversion"/>
  </si>
  <si>
    <t>­ 청소년운영위원회 홍보비</t>
    <phoneticPr fontId="5" type="noConversion"/>
  </si>
  <si>
    <t>×</t>
    <phoneticPr fontId="5" type="noConversion"/>
  </si>
  <si>
    <t>­ 청소년운영위원회 운영비</t>
    <phoneticPr fontId="5" type="noConversion"/>
  </si>
  <si>
    <t>­ 청소년운영위원회 진행비</t>
    <phoneticPr fontId="5" type="noConversion"/>
  </si>
  <si>
    <t>­ 청소년운영위원회 식비</t>
    <phoneticPr fontId="5" type="noConversion"/>
  </si>
  <si>
    <t>­ 청소년 사회적 경제 프로젝트 홍보비</t>
    <phoneticPr fontId="5" type="noConversion"/>
  </si>
  <si>
    <t>- 청소년 사회적 경제 프로젝트 강사비</t>
    <phoneticPr fontId="5" type="noConversion"/>
  </si>
  <si>
    <t>­ 청소년 사회적 경제 프로젝트 식비(간식비)</t>
    <phoneticPr fontId="5" type="noConversion"/>
  </si>
  <si>
    <t>×</t>
    <phoneticPr fontId="5" type="noConversion"/>
  </si>
  <si>
    <t>×</t>
    <phoneticPr fontId="5" type="noConversion"/>
  </si>
  <si>
    <t>­ 청소년 사회적 경제 프로젝트 진행비</t>
    <phoneticPr fontId="5" type="noConversion"/>
  </si>
  <si>
    <t>­ 청소년 사회적 경제 프로젝트 식비</t>
    <phoneticPr fontId="5" type="noConversion"/>
  </si>
  <si>
    <t>­ 청소년 자치 조직 연합활동 진행비</t>
  </si>
  <si>
    <t>­ 청소년 자치 조직 연합활동 운영비(물품구입)</t>
  </si>
  <si>
    <t>­ 청소년 자치 조직 연합활동 진행비(송년파티)</t>
    <phoneticPr fontId="4" type="noConversion"/>
  </si>
  <si>
    <t>­ 청소년 자치 조직 연합활동 진행비(발대식)</t>
    <phoneticPr fontId="4" type="noConversion"/>
  </si>
  <si>
    <t>­ 청소년 자치 조직 연합활동 숙식비</t>
  </si>
  <si>
    <t>­ 청소년 자치 조직 연합활동 보험비</t>
  </si>
  <si>
    <t>­ 청소년 자치 조직 연합활동 식비</t>
  </si>
  <si>
    <t>­ 청소년 자치 조직 연합활동 식비(간식비)</t>
  </si>
  <si>
    <t>­ 청소년 창작 연극 사업 홍보비</t>
  </si>
  <si>
    <t>- 청소년 창작 연극 사업 식비</t>
  </si>
  <si>
    <t>- 청소년 창작 연극 사업 식비(간식비)</t>
  </si>
  <si>
    <t>­ 청소년 창작 연극 사업 임차비</t>
  </si>
  <si>
    <t>­ 청소년 창작 연극 사업 강사비(메인)</t>
  </si>
  <si>
    <t>­ 청소년 창작 연극 사업 강사비(보조)</t>
  </si>
  <si>
    <t xml:space="preserve">- 청소년 창작 연극 사업 보험비 </t>
  </si>
  <si>
    <t>- 청소년 창작 연극 사업 진행비</t>
  </si>
  <si>
    <t>­ 청소년 창작 연극 사업 운영비</t>
  </si>
  <si>
    <t>­ 후기청소년지원사업 홍보비</t>
  </si>
  <si>
    <t>­ 후기청소년지원사업 강사비</t>
  </si>
  <si>
    <t>­ 후기청소년지원사업 운영비</t>
  </si>
  <si>
    <t>- 후기청소년지원사업 진행비</t>
  </si>
  <si>
    <t>- 후기청소년지원사업 상품비</t>
  </si>
  <si>
    <t>­ 후기청소년지원사업 식비</t>
  </si>
  <si>
    <t>­ 후기청소년지원사업 식비(간식비)</t>
  </si>
  <si>
    <t>­ 청소년 여행 기획 프로젝트 강사비</t>
  </si>
  <si>
    <t>- 청소년 여행 기획 프로젝트 진행비</t>
  </si>
  <si>
    <t>­ 청소년 여행 기획 프로젝트 운영비</t>
  </si>
  <si>
    <t>- 청소년 여행 기획 프로젝트 숙식비</t>
    <phoneticPr fontId="4" type="noConversion"/>
  </si>
  <si>
    <t>- 청소년 여행 기획 프로젝트 보험비</t>
  </si>
  <si>
    <t>­ 청소년 여행 기획 프로젝트 식비</t>
  </si>
  <si>
    <t>­ 청소년 여행 기획 프로젝트 식비(간식비)</t>
  </si>
  <si>
    <t>­ 지역 내 학교 학생회 연계 사업 강사비</t>
  </si>
  <si>
    <t>- 지역 내 학교 학생회 연계 사업 홍보비</t>
  </si>
  <si>
    <t>­ 지역 내 학교 학생회 연계 사업 운영비</t>
  </si>
  <si>
    <t>­ 지역 내 학교 학생회 연계 사업 식비</t>
  </si>
  <si>
    <t>­ 지역 내 학교 학생회 연계 사업 식비(간식비)</t>
    <phoneticPr fontId="4" type="noConversion"/>
  </si>
  <si>
    <t>­ 청소년 마을 환경 개선 프로젝트 운영비</t>
  </si>
  <si>
    <t>­ 청소년 마을환경 개선 프로젝트 식비(간식비)</t>
  </si>
  <si>
    <t>­ 청소년 마을환경 개선 프로젝트 식비</t>
  </si>
  <si>
    <t>­ 지역사회 연계 청소년 축제 사업 홍보비</t>
  </si>
  <si>
    <t>­ 지역사회 연계 청소년 축제 사업 운영비(물품구입)</t>
    <phoneticPr fontId="4" type="noConversion"/>
  </si>
  <si>
    <t>­ 지역사회 연계 청소년 축제 사업 보험비</t>
  </si>
  <si>
    <t>­ 지역사회 연계 청소년 축제 사업 진행비</t>
  </si>
  <si>
    <t>­ 지역사회 연계 청소년 축제 사업 식비</t>
  </si>
  <si>
    <t>­ 지역사회 연계 청소년 축제 사업 식비(간식비)</t>
  </si>
  <si>
    <t>­ 미 국무부 연계 청소년 홈스테이 식비(간식비)</t>
    <phoneticPr fontId="5" type="noConversion"/>
  </si>
  <si>
    <t>×</t>
    <phoneticPr fontId="5" type="noConversion"/>
  </si>
  <si>
    <t>­ 미 국무부 연계 청소년 홈스테이 진행비</t>
    <phoneticPr fontId="5" type="noConversion"/>
  </si>
  <si>
    <t>­ 미 국무부 연계 청소년 홈스테이 평가회의비</t>
    <phoneticPr fontId="5" type="noConversion"/>
  </si>
  <si>
    <t>­ 기후변화대응 프로젝트 홍보비</t>
    <phoneticPr fontId="5" type="noConversion"/>
  </si>
  <si>
    <t>­ 기후변화대응 프로젝트 식비</t>
    <phoneticPr fontId="5" type="noConversion"/>
  </si>
  <si>
    <t>­ 기후변화대응 프로젝트 식비(간식비)</t>
    <phoneticPr fontId="5" type="noConversion"/>
  </si>
  <si>
    <t>­ 기후변화대응 프로젝트 진행비</t>
    <phoneticPr fontId="5" type="noConversion"/>
  </si>
  <si>
    <t>­ 포용적 세계시민 양성 사업 강사비</t>
  </si>
  <si>
    <t>­ 포용적 세계시민 양성 사업 홍보비</t>
  </si>
  <si>
    <t>­ 포용적 세계시민 양성 사업 인쇄비</t>
  </si>
  <si>
    <t>­ 포용적 세계시민 양성 사업 식비</t>
  </si>
  <si>
    <t>­ 포용적 세계시민 양성 사업 운영비</t>
  </si>
  <si>
    <t>­ 포용적 세계시민 양성 사업 진행비</t>
  </si>
  <si>
    <t>­ 포용적 세계시민 양성 사업 보험비</t>
  </si>
  <si>
    <t>­ 포용적 세계시민 양성 사업 식비(간식비)</t>
    <phoneticPr fontId="4" type="noConversion"/>
  </si>
  <si>
    <t>­ 온라인 청소년 국제교류 사업 운영비</t>
  </si>
  <si>
    <t>­ 온라인 청소년 국제교류 사업 강사비</t>
  </si>
  <si>
    <t>­ 온라인 청소년 국제교류 사업 홍보비</t>
  </si>
  <si>
    <t>­ 온라인 청소년 국제교류 사업 진행비</t>
  </si>
  <si>
    <t>­ 온라인 청소년 국제교류 사업 평가회의비</t>
  </si>
  <si>
    <t>­ 온라인 청소년 국제교류 사업 식비(간식비)</t>
    <phoneticPr fontId="4" type="noConversion"/>
  </si>
  <si>
    <t>­ 한국워크캠프 홍보비</t>
  </si>
  <si>
    <t>­ 한국워크캠프 식비</t>
  </si>
  <si>
    <t>­ 한국워크캠프 식비(간식비)</t>
  </si>
  <si>
    <t>­ 한국워크캠프 강사비(메인)</t>
  </si>
  <si>
    <t>­ 한국워크캠프 강사비(보조)</t>
  </si>
  <si>
    <t>- 한국워크캠프 숙식비</t>
  </si>
  <si>
    <t>- 한국워크캠프 보험비</t>
  </si>
  <si>
    <t>- 한국워크캠프 운영비</t>
  </si>
  <si>
    <t>­ 한국워크캠프 진행비</t>
  </si>
  <si>
    <t>­ 청소년 크리에이터 프로젝트 운영비(물품구입)</t>
  </si>
  <si>
    <t>­ 청소년 크리에이터 프로젝트 진행비</t>
  </si>
  <si>
    <t>­ 청소년 크리에이터 프로젝트 식비</t>
  </si>
  <si>
    <t>­ 청소년 크리에이터 프로젝트 식비(간식비)</t>
  </si>
  <si>
    <t>­ 청소년 크리에이터 프로젝트 강사비</t>
    <phoneticPr fontId="4" type="noConversion"/>
  </si>
  <si>
    <t>­ 청소년 노동권 증진 프로젝트 운영비(물품)</t>
  </si>
  <si>
    <t>­ 청소년 노동권 증진 프로젝트 진행비</t>
  </si>
  <si>
    <t>­ 청소년 노동권 증진 프로젝트 보험비</t>
  </si>
  <si>
    <t>­ 청소년 노동권 증진 프로젝트 식비</t>
  </si>
  <si>
    <t>­ 청소년 노동권 증진 프로젝트 식비(간식비)</t>
  </si>
  <si>
    <t>­ 청소년 노동권 증진 프로젝트 강사비</t>
    <phoneticPr fontId="4" type="noConversion"/>
  </si>
  <si>
    <t>­ 청소년 성평등 문화 확산 사업 홍보비</t>
  </si>
  <si>
    <t>­ 청소년 성평등 문화 확산 사업 식비</t>
  </si>
  <si>
    <t>­ 청소년 성평등 문화 확산 식비(간식비)</t>
  </si>
  <si>
    <t>­ 청소년 성평등 문화 확산 보험비</t>
  </si>
  <si>
    <t>- 청소년 성평등 문화 확산 강사비</t>
  </si>
  <si>
    <t>­ 청소년 성평등 문화 확산 운영비</t>
  </si>
  <si>
    <t>­ 위기 청소년 프로젝트 사업 홍보비</t>
    <phoneticPr fontId="5" type="noConversion"/>
  </si>
  <si>
    <t>­ 위기 청소년 프로젝트 사업 강사비</t>
    <phoneticPr fontId="5" type="noConversion"/>
  </si>
  <si>
    <t>- 위기 청소년 프로젝트 사업 식비(간식비)</t>
    <phoneticPr fontId="5" type="noConversion"/>
  </si>
  <si>
    <t>­ 위기 청소년 프로젝트 사업 진행비</t>
    <phoneticPr fontId="5" type="noConversion"/>
  </si>
  <si>
    <t>­ 위기 청소년 프로젝트 사업 식비</t>
    <phoneticPr fontId="5" type="noConversion"/>
  </si>
  <si>
    <t>­ 지역 연대 세대 공감 홍보비</t>
    <phoneticPr fontId="5" type="noConversion"/>
  </si>
  <si>
    <t>- 지역 연대 세대 공감 강사비</t>
    <phoneticPr fontId="5" type="noConversion"/>
  </si>
  <si>
    <t>×</t>
    <phoneticPr fontId="5" type="noConversion"/>
  </si>
  <si>
    <t>­ 지역 연대 세대 공감 식비(간식비)</t>
    <phoneticPr fontId="5" type="noConversion"/>
  </si>
  <si>
    <t>×</t>
    <phoneticPr fontId="5" type="noConversion"/>
  </si>
  <si>
    <t>×</t>
    <phoneticPr fontId="5" type="noConversion"/>
  </si>
  <si>
    <t>­ 지역 연대 세대 공감 진행비</t>
    <phoneticPr fontId="5" type="noConversion"/>
  </si>
  <si>
    <t>­ 지역 연대 세대 공감 평가회의비</t>
    <phoneticPr fontId="5" type="noConversion"/>
  </si>
  <si>
    <t>­ 지역사회 문화공유 사업 홍보비</t>
  </si>
  <si>
    <t>- 지역사회 문화공유 사업 인쇄비</t>
  </si>
  <si>
    <t>­ 지역사회 문화공유 사업 식비</t>
  </si>
  <si>
    <t>­ 지역사회 문화공유 사업 식비(간식비)</t>
  </si>
  <si>
    <t>­ 지역사회 문화공유 사업 임차비</t>
  </si>
  <si>
    <t>­ 지역사회 문화공유 사업 강사비</t>
  </si>
  <si>
    <t>­ 지역사회 문화공유 사업 운영비</t>
  </si>
  <si>
    <t>=</t>
    <phoneticPr fontId="4" type="noConversion"/>
  </si>
  <si>
    <t>- 선풍기</t>
    <phoneticPr fontId="4" type="noConversion"/>
  </si>
  <si>
    <t>- 제습기</t>
    <phoneticPr fontId="4" type="noConversion"/>
  </si>
  <si>
    <t>- 캐비닛</t>
    <phoneticPr fontId="4" type="noConversion"/>
  </si>
  <si>
    <t>- 포용적 세계시민 양성 사업 진행비</t>
  </si>
  <si>
    <t>- 포용적 세계시민 양석 사업 숙식비</t>
  </si>
  <si>
    <t>- 청소년 욕구반영 프로젝트 강사비</t>
    <phoneticPr fontId="4" type="noConversion"/>
  </si>
  <si>
    <t>- 청소년 욕구반영 프로젝트 홍보비</t>
    <phoneticPr fontId="4" type="noConversion"/>
  </si>
  <si>
    <t>- 청소년 욕구반영 프로젝트 운영비</t>
    <phoneticPr fontId="4" type="noConversion"/>
  </si>
  <si>
    <t xml:space="preserve">× </t>
    <phoneticPr fontId="4" type="noConversion"/>
  </si>
  <si>
    <t>- 청소년 욕구반영 프로젝트 상품비</t>
    <phoneticPr fontId="4" type="noConversion"/>
  </si>
  <si>
    <t>- 청소년 욕구반영 프로젝트 식비(간식비)</t>
    <phoneticPr fontId="4" type="noConversion"/>
  </si>
  <si>
    <t>- 청소년 욕구반영 프로젝트 식비</t>
    <phoneticPr fontId="4" type="noConversion"/>
  </si>
  <si>
    <t>- 융합 토크 콘서트 &amp; 원데이특강 강사비</t>
    <phoneticPr fontId="4" type="noConversion"/>
  </si>
  <si>
    <t>- 융합 토크 콘서트 &amp; 원데이특강 홍보비</t>
    <phoneticPr fontId="4" type="noConversion"/>
  </si>
  <si>
    <t>- 융합 토크 콘서트 &amp; 원데이특강 운영비</t>
    <phoneticPr fontId="4" type="noConversion"/>
  </si>
  <si>
    <t>- 융합 토크 콘서트 &amp; 원데이특강 상품비</t>
    <phoneticPr fontId="4" type="noConversion"/>
  </si>
  <si>
    <t>- 융합 토크 콘서트 &amp; 원데이특강 식비(간식비)</t>
    <phoneticPr fontId="4" type="noConversion"/>
  </si>
  <si>
    <t>- 융합 토크 콘서트 &amp; 원데이특강 식비</t>
    <phoneticPr fontId="4" type="noConversion"/>
  </si>
  <si>
    <t>- 청소년열린공간 동아리실운영비(물품구입)</t>
  </si>
  <si>
    <t>- 청소년열린공간 동아리실운영비(유지보수)</t>
    <phoneticPr fontId="4" type="noConversion"/>
  </si>
  <si>
    <t xml:space="preserve">   - 카페운영 운영비(재료비)</t>
    <phoneticPr fontId="4" type="noConversion"/>
  </si>
  <si>
    <t xml:space="preserve">   - 카페운영 운영비(음악저작권료, 물품구입 등)</t>
    <phoneticPr fontId="4" type="noConversion"/>
  </si>
  <si>
    <t xml:space="preserve">   - 카페운영 홍보비</t>
    <phoneticPr fontId="4" type="noConversion"/>
  </si>
  <si>
    <t xml:space="preserve">   - 청소년 교육활동 강사비</t>
    <phoneticPr fontId="4" type="noConversion"/>
  </si>
  <si>
    <t xml:space="preserve">   - 청소년 교육활동 운영비(발표 및 전시회)</t>
    <phoneticPr fontId="4" type="noConversion"/>
  </si>
  <si>
    <t xml:space="preserve">   - 청소년 교육활동 운영비(강사간담회 운영비)</t>
    <phoneticPr fontId="4" type="noConversion"/>
  </si>
  <si>
    <t xml:space="preserve">   - 청소년 교육활동 식비(강사간담회 식비)</t>
    <phoneticPr fontId="4" type="noConversion"/>
  </si>
  <si>
    <t xml:space="preserve">   - 청소년 교육활동 식비(강사간담회 간식비)</t>
    <phoneticPr fontId="4" type="noConversion"/>
  </si>
  <si>
    <t xml:space="preserve">   - 청소년 교육활동 카드수수료</t>
    <phoneticPr fontId="4" type="noConversion"/>
  </si>
  <si>
    <t xml:space="preserve">   - 청소년 교육활동 운영비(물품 구입 등)</t>
    <phoneticPr fontId="4" type="noConversion"/>
  </si>
  <si>
    <t>­ 가족 소통 개선 프로젝트 운영비(물품구입 등)</t>
    <phoneticPr fontId="4" type="noConversion"/>
  </si>
  <si>
    <t>­ 가족 소통 개선 프로젝트 진행비</t>
  </si>
  <si>
    <t>1회</t>
  </si>
  <si>
    <t>­ 가족 소통 개선 프로젝트 식비(간식비)</t>
  </si>
  <si>
    <t>­ 가족 소통 개선 프로젝트 강사비</t>
  </si>
  <si>
    <t>­예비 청소년 지도사 실습 지원 운영비(물품구입 등)</t>
    <phoneticPr fontId="5" type="noConversion"/>
  </si>
  <si>
    <t>­예비 청소년 지도사 실습 지원 진행비</t>
    <phoneticPr fontId="5" type="noConversion"/>
  </si>
  <si>
    <t>­예비 청소년 지도사 실습 지원 평가회의비</t>
    <phoneticPr fontId="5" type="noConversion"/>
  </si>
  <si>
    <t>- 홍보사업 홍보비</t>
    <phoneticPr fontId="4" type="noConversion"/>
  </si>
  <si>
    <t>- 홍보사업 인쇄비</t>
    <phoneticPr fontId="4" type="noConversion"/>
  </si>
  <si>
    <t>- 홍보사업 운영비</t>
    <phoneticPr fontId="4" type="noConversion"/>
  </si>
  <si>
    <t xml:space="preserve">   - 학교 연계 프로젝트 홍보비</t>
  </si>
  <si>
    <t xml:space="preserve">   - 학교 연계 프로젝트 임차비</t>
  </si>
  <si>
    <t>­ 학교 연계 프로젝트 강사비</t>
  </si>
  <si>
    <t>­ 학교 연계 프로젝트 운영비</t>
  </si>
  <si>
    <t xml:space="preserve">   - 성인 교육활동 강사비</t>
    <phoneticPr fontId="4" type="noConversion"/>
  </si>
  <si>
    <t xml:space="preserve">   - 성인 교육활동 운영비(강사간담회 운영비)</t>
    <phoneticPr fontId="4" type="noConversion"/>
  </si>
  <si>
    <t>=</t>
    <phoneticPr fontId="4" type="noConversion"/>
  </si>
  <si>
    <t xml:space="preserve">   - 성인 교육활동 식비(강사간담회 식비)</t>
    <phoneticPr fontId="4" type="noConversion"/>
  </si>
  <si>
    <t xml:space="preserve">   - 성인 교육활동 식비(강사간담회 간식비)</t>
    <phoneticPr fontId="4" type="noConversion"/>
  </si>
  <si>
    <t xml:space="preserve">   - 교육활동 회원관리프로그램 유지보수비</t>
    <phoneticPr fontId="4" type="noConversion"/>
  </si>
  <si>
    <t xml:space="preserve">   - 교육활동 SMS서비스유지관리비</t>
    <phoneticPr fontId="4" type="noConversion"/>
  </si>
  <si>
    <t xml:space="preserve">   - 성인 교육활동 카드수수료</t>
    <phoneticPr fontId="4" type="noConversion"/>
  </si>
  <si>
    <t xml:space="preserve">   - 성인 교육활동 운영비(물품구입 등)</t>
    <phoneticPr fontId="4" type="noConversion"/>
  </si>
  <si>
    <t xml:space="preserve">   - 교육활동 홍보비</t>
    <phoneticPr fontId="4" type="noConversion"/>
  </si>
  <si>
    <t xml:space="preserve">   - 교육활동 인쇄비</t>
    <phoneticPr fontId="4" type="noConversion"/>
  </si>
  <si>
    <t>­ 비품구입(동아리 및 강의실)</t>
    <phoneticPr fontId="5" type="noConversion"/>
  </si>
  <si>
    <t xml:space="preserve">  · 책상</t>
    <phoneticPr fontId="4" type="noConversion"/>
  </si>
  <si>
    <t xml:space="preserve">  · 의자</t>
    <phoneticPr fontId="4" type="noConversion"/>
  </si>
  <si>
    <t xml:space="preserve">  · 스마트TV</t>
    <phoneticPr fontId="4" type="noConversion"/>
  </si>
  <si>
    <t>­ 기자재 구입</t>
    <phoneticPr fontId="5" type="noConversion"/>
  </si>
  <si>
    <t>­ 회의 진행비</t>
    <phoneticPr fontId="5" type="noConversion"/>
  </si>
  <si>
    <t>­ 연합워크숍 운영비</t>
    <phoneticPr fontId="5" type="noConversion"/>
  </si>
  <si>
    <t xml:space="preserve"> ㆍ봉사활동 물품구입 및 단체복 구입비</t>
    <phoneticPr fontId="5" type="noConversion"/>
  </si>
  <si>
    <t xml:space="preserve"> ㆍ미디어 편집 프로그램 강사비</t>
    <phoneticPr fontId="5" type="noConversion"/>
  </si>
  <si>
    <t xml:space="preserve"> ㆍ홍보단 활동운영비</t>
    <phoneticPr fontId="5" type="noConversion"/>
  </si>
  <si>
    <t xml:space="preserve"> ㆍ촬영 물품구입 및 대여비</t>
    <phoneticPr fontId="5" type="noConversion"/>
  </si>
  <si>
    <t xml:space="preserve"> ㆍ배너 구입비</t>
    <phoneticPr fontId="5" type="noConversion"/>
  </si>
  <si>
    <t xml:space="preserve"> ㆍ동아리활동 진행 지원비</t>
    <phoneticPr fontId="5" type="noConversion"/>
  </si>
  <si>
    <t xml:space="preserve"> ㆍ동아리활동 물품구입 지원비</t>
    <phoneticPr fontId="5" type="noConversion"/>
  </si>
  <si>
    <t xml:space="preserve"> ㆍ연합 활동 진행 및 식비</t>
    <phoneticPr fontId="5" type="noConversion"/>
  </si>
  <si>
    <t xml:space="preserve"> ㆍ연합 활동 물품구입 및 상품 구입비</t>
    <phoneticPr fontId="5" type="noConversion"/>
  </si>
  <si>
    <t xml:space="preserve"> ㆍ현수막 및 배너 구입비</t>
    <phoneticPr fontId="5" type="noConversion"/>
  </si>
  <si>
    <t xml:space="preserve"> ㆍ연합 활동 진행비</t>
    <phoneticPr fontId="5" type="noConversion"/>
  </si>
  <si>
    <t xml:space="preserve"> ㆍ연합 활동 운영물품 구입비</t>
    <phoneticPr fontId="5" type="noConversion"/>
  </si>
  <si>
    <t xml:space="preserve"> ㆍ현수막 및 배너 구입비</t>
    <phoneticPr fontId="5" type="noConversion"/>
  </si>
  <si>
    <t>­ 다과, 운영물품, 현수막 구입</t>
    <phoneticPr fontId="5" type="noConversion"/>
  </si>
  <si>
    <t>­ 자원봉사교육강사비</t>
    <phoneticPr fontId="5" type="noConversion"/>
  </si>
  <si>
    <t>­ 프로그램재료구입비</t>
    <phoneticPr fontId="5" type="noConversion"/>
  </si>
  <si>
    <t>­ 간식비</t>
    <phoneticPr fontId="5" type="noConversion"/>
  </si>
  <si>
    <t>­ 봉사활동운영비</t>
    <phoneticPr fontId="5" type="noConversion"/>
  </si>
  <si>
    <t>­ 활동 진행비</t>
    <phoneticPr fontId="5" type="noConversion"/>
  </si>
  <si>
    <t>­ 활동 물품 구입비</t>
    <phoneticPr fontId="5" type="noConversion"/>
  </si>
  <si>
    <t>­ 국내활동 회의 운영비</t>
    <phoneticPr fontId="5" type="noConversion"/>
  </si>
  <si>
    <t>­ 운영물품구입 및 홍보비</t>
    <phoneticPr fontId="5" type="noConversion"/>
  </si>
  <si>
    <t>­ 해외활동 숙식비</t>
    <phoneticPr fontId="5" type="noConversion"/>
  </si>
  <si>
    <t>­ 국제활동교육강사비</t>
    <phoneticPr fontId="5" type="noConversion"/>
  </si>
  <si>
    <t>­ 참가자 모집 홍보비(현수막 및 배너)</t>
    <phoneticPr fontId="5" type="noConversion"/>
  </si>
  <si>
    <t>­ 체험활동비</t>
    <phoneticPr fontId="5" type="noConversion"/>
  </si>
  <si>
    <t>­ 버스임차비</t>
    <phoneticPr fontId="5" type="noConversion"/>
  </si>
  <si>
    <t>­ 캠프숙식비 및 장소 대관비</t>
    <phoneticPr fontId="5" type="noConversion"/>
  </si>
  <si>
    <t>­ 문구류 및 활동물품 구입비</t>
    <phoneticPr fontId="5" type="noConversion"/>
  </si>
  <si>
    <t>­ 프로그램 강사비 및 간식구입 등</t>
    <phoneticPr fontId="5" type="noConversion"/>
  </si>
  <si>
    <t>­ 재료비</t>
    <phoneticPr fontId="5" type="noConversion"/>
  </si>
  <si>
    <t>­ 운영비(물품구입)</t>
    <phoneticPr fontId="5" type="noConversion"/>
  </si>
  <si>
    <t>­ 홍보비(현수막, 배너 등)</t>
    <phoneticPr fontId="5" type="noConversion"/>
  </si>
  <si>
    <t>­ 참가자모집 홍보비</t>
    <phoneticPr fontId="5" type="noConversion"/>
  </si>
  <si>
    <t>­ 버스 임차비</t>
    <phoneticPr fontId="5" type="noConversion"/>
  </si>
  <si>
    <t>­ 프로그램 운영비</t>
    <phoneticPr fontId="5" type="noConversion"/>
  </si>
  <si>
    <t>­ 캠프 진행비</t>
    <phoneticPr fontId="5" type="noConversion"/>
  </si>
  <si>
    <t>­ 캠프진행 물품구입비</t>
    <phoneticPr fontId="5" type="noConversion"/>
  </si>
  <si>
    <t>­ 캠페인 활동 진행 및 식비</t>
    <phoneticPr fontId="5" type="noConversion"/>
  </si>
  <si>
    <t>­ 캠페인 활동 물품구입비</t>
    <phoneticPr fontId="5" type="noConversion"/>
  </si>
  <si>
    <t>­ 현수막 및 배너 구입비</t>
    <phoneticPr fontId="5" type="noConversion"/>
  </si>
  <si>
    <t>­ 지원사업 진행비</t>
    <phoneticPr fontId="5" type="noConversion"/>
  </si>
  <si>
    <t>­ 지원사업 운영비</t>
    <phoneticPr fontId="5" type="noConversion"/>
  </si>
  <si>
    <t>­ 인권 교육 강사비</t>
    <phoneticPr fontId="5" type="noConversion"/>
  </si>
  <si>
    <t>­ 운영비(문구, 간식비 등)</t>
    <phoneticPr fontId="5" type="noConversion"/>
  </si>
  <si>
    <t>­ 촬영 물품구입 및 대여비</t>
    <phoneticPr fontId="5" type="noConversion"/>
  </si>
  <si>
    <t>­ 홍보비(포스터 제작)</t>
    <phoneticPr fontId="5" type="noConversion"/>
  </si>
  <si>
    <t>­ 네트워킹 활동 식사 및 간식 구입비</t>
    <phoneticPr fontId="5" type="noConversion"/>
  </si>
  <si>
    <t>­ 네트워킹 활동 물품구입 및 임차비</t>
    <phoneticPr fontId="5" type="noConversion"/>
  </si>
  <si>
    <t>­ 네트워킹 특강 강사비</t>
    <phoneticPr fontId="5" type="noConversion"/>
  </si>
  <si>
    <t>­ 홍보 포스터 및 책자 제작, 배포</t>
    <phoneticPr fontId="5" type="noConversion"/>
  </si>
  <si>
    <t>­ 프로젝트 식사 및 간식 구입비</t>
    <phoneticPr fontId="5" type="noConversion"/>
  </si>
  <si>
    <t>­ 프로젝트 운영물품 및 단체복 구입</t>
    <phoneticPr fontId="5" type="noConversion"/>
  </si>
  <si>
    <t>­ 현수막 및 인쇄물 인쇄비</t>
    <phoneticPr fontId="5" type="noConversion"/>
  </si>
  <si>
    <t xml:space="preserve"> ㆍ재료비</t>
    <phoneticPr fontId="5" type="noConversion"/>
  </si>
  <si>
    <t>­ 아고라프로젝트</t>
    <phoneticPr fontId="5" type="noConversion"/>
  </si>
  <si>
    <t xml:space="preserve"> ㆍ프로그램 진행 강사비</t>
    <phoneticPr fontId="5" type="noConversion"/>
  </si>
  <si>
    <t xml:space="preserve"> ㆍ기자재 및 운영물품비</t>
    <phoneticPr fontId="5" type="noConversion"/>
  </si>
  <si>
    <t xml:space="preserve"> ㆍ프로젝트 진행비</t>
    <phoneticPr fontId="5" type="noConversion"/>
  </si>
  <si>
    <t xml:space="preserve"> ㆍ홍보비(현수막, 배너 등)</t>
    <phoneticPr fontId="5" type="noConversion"/>
  </si>
  <si>
    <t>­ 천체관측 및 숙박비</t>
    <phoneticPr fontId="5" type="noConversion"/>
  </si>
  <si>
    <t>­ 식·간식비</t>
    <phoneticPr fontId="5" type="noConversion"/>
  </si>
  <si>
    <t>­ 외부활동 보험비</t>
    <phoneticPr fontId="5" type="noConversion"/>
  </si>
  <si>
    <t>­ 현수막 및 배너 구입비</t>
    <phoneticPr fontId="5" type="noConversion"/>
  </si>
  <si>
    <t>­ 홍보물(책자, 리플릿 등) 제작비</t>
    <phoneticPr fontId="5" type="noConversion"/>
  </si>
  <si>
    <t>­ 홍보물품 제작비</t>
    <phoneticPr fontId="5" type="noConversion"/>
  </si>
  <si>
    <t>­ 체험학교1 매직온</t>
    <phoneticPr fontId="5" type="noConversion"/>
  </si>
  <si>
    <t xml:space="preserve"> ㆍ체험학교 강사비</t>
    <phoneticPr fontId="5" type="noConversion"/>
  </si>
  <si>
    <t xml:space="preserve"> ㆍ체험활동 재료비</t>
    <phoneticPr fontId="5" type="noConversion"/>
  </si>
  <si>
    <t xml:space="preserve"> ㆍ참가자모집 홍보비</t>
    <phoneticPr fontId="5" type="noConversion"/>
  </si>
  <si>
    <t xml:space="preserve"> ㆍ체험학교 운영비</t>
    <phoneticPr fontId="5" type="noConversion"/>
  </si>
  <si>
    <t>­ 체험학교2 나만의앱스토리</t>
    <phoneticPr fontId="5" type="noConversion"/>
  </si>
  <si>
    <t xml:space="preserve"> ㆍ홍보비(현수막, 배너, 포스터 제작 등)</t>
    <phoneticPr fontId="5" type="noConversion"/>
  </si>
  <si>
    <t>­ 체험학교3 텍스피플</t>
    <phoneticPr fontId="5" type="noConversion"/>
  </si>
  <si>
    <t xml:space="preserve"> ㆍ체험학교 보조강사비</t>
    <phoneticPr fontId="5" type="noConversion"/>
  </si>
  <si>
    <t xml:space="preserve"> ㆍ체험학교 운영비</t>
    <phoneticPr fontId="5" type="noConversion"/>
  </si>
  <si>
    <t xml:space="preserve"> ㆍ체험활동 재료비</t>
    <phoneticPr fontId="5" type="noConversion"/>
  </si>
  <si>
    <t xml:space="preserve"> ㆍ홍보비(현수막, 배너, 포스터 제작 등)</t>
  </si>
  <si>
    <t>­ 보드스팟</t>
    <phoneticPr fontId="5" type="noConversion"/>
  </si>
  <si>
    <t xml:space="preserve"> ㆍ보드강사비</t>
    <phoneticPr fontId="5" type="noConversion"/>
  </si>
  <si>
    <t xml:space="preserve"> ㆍ장소대관료</t>
    <phoneticPr fontId="5" type="noConversion"/>
  </si>
  <si>
    <t xml:space="preserve"> ㆍ프로그램 운영비</t>
    <phoneticPr fontId="5" type="noConversion"/>
  </si>
  <si>
    <t>­ 성사리그(축구대회)</t>
    <phoneticPr fontId="5" type="noConversion"/>
  </si>
  <si>
    <t xml:space="preserve"> ㆍ축구심판비</t>
    <phoneticPr fontId="5" type="noConversion"/>
  </si>
  <si>
    <t xml:space="preserve"> ㆍ축구대회 운영비</t>
    <phoneticPr fontId="5" type="noConversion"/>
  </si>
  <si>
    <t xml:space="preserve"> ㆍ홍보비(현수막, 배너, 판넬 등 제작)</t>
    <phoneticPr fontId="5" type="noConversion"/>
  </si>
  <si>
    <t>­ 미션런닝맨</t>
    <phoneticPr fontId="5" type="noConversion"/>
  </si>
  <si>
    <t xml:space="preserve"> ㆍ안전요원 인건비</t>
    <phoneticPr fontId="5" type="noConversion"/>
  </si>
  <si>
    <t xml:space="preserve"> ㆍ홍보비(현수막, 배너, 판넬 등 제작)</t>
    <phoneticPr fontId="5" type="noConversion"/>
  </si>
  <si>
    <t>- 스포츠여가활동 홍보비</t>
    <phoneticPr fontId="4" type="noConversion"/>
  </si>
  <si>
    <t>­ 비행기표 구입</t>
    <phoneticPr fontId="5" type="noConversion"/>
  </si>
  <si>
    <t>­ 해피타임 홍보비</t>
    <phoneticPr fontId="5" type="noConversion"/>
  </si>
  <si>
    <t>­ 해피타임 식비(간식비 등)</t>
    <phoneticPr fontId="5" type="noConversion"/>
  </si>
  <si>
    <t xml:space="preserve">× </t>
    <phoneticPr fontId="4" type="noConversion"/>
  </si>
  <si>
    <t>­ 해피타임 회의식비(간식비 등)</t>
    <phoneticPr fontId="5" type="noConversion"/>
  </si>
  <si>
    <t>­ 해피타임 임차비</t>
    <phoneticPr fontId="5" type="noConversion"/>
  </si>
  <si>
    <t>­ 청소년동아리 운영비(물품구입 등)</t>
    <phoneticPr fontId="5" type="noConversion"/>
  </si>
  <si>
    <t>­ 청소년동아리 식비(간식비 등)</t>
    <phoneticPr fontId="5" type="noConversion"/>
  </si>
  <si>
    <t>­ 청소년자치기구 운영비(물품구입 등)</t>
    <phoneticPr fontId="5" type="noConversion"/>
  </si>
  <si>
    <t>­ 청소년자치기구 식비(간식비 등)</t>
    <phoneticPr fontId="5" type="noConversion"/>
  </si>
  <si>
    <t>­ 직원 2명 급여 소급</t>
    <phoneticPr fontId="5" type="noConversion"/>
  </si>
  <si>
    <t>­ 직원 2명 급여 소급</t>
    <phoneticPr fontId="5" type="noConversion"/>
  </si>
  <si>
    <t xml:space="preserve"> - 청소년연합워크숍 숙식비</t>
    <phoneticPr fontId="4" type="noConversion"/>
  </si>
  <si>
    <t>=</t>
    <phoneticPr fontId="5" type="noConversion"/>
  </si>
  <si>
    <t xml:space="preserve"> - 청소년연합워크숍 식비(간식비 등)</t>
    <phoneticPr fontId="4" type="noConversion"/>
  </si>
  <si>
    <t xml:space="preserve"> - 청소년연합워크숍 보험비</t>
    <phoneticPr fontId="4" type="noConversion"/>
  </si>
  <si>
    <t xml:space="preserve"> - 청소년연합워크숍 진행비</t>
    <phoneticPr fontId="4" type="noConversion"/>
  </si>
  <si>
    <t xml:space="preserve"> - 청소년연합워크숍 운영비(물품구입 등)</t>
    <phoneticPr fontId="4" type="noConversion"/>
  </si>
  <si>
    <t>=</t>
    <phoneticPr fontId="5" type="noConversion"/>
  </si>
  <si>
    <t xml:space="preserve"> - 청소년연합워크숍 임차비</t>
    <phoneticPr fontId="4" type="noConversion"/>
  </si>
  <si>
    <t xml:space="preserve"> - 청소년연합워크숍 홍보비</t>
    <phoneticPr fontId="4" type="noConversion"/>
  </si>
  <si>
    <t xml:space="preserve"> - 청소년연합워크숍 회의식비(간식비 등)</t>
    <phoneticPr fontId="4" type="noConversion"/>
  </si>
  <si>
    <t xml:space="preserve"> - 고3 수험생프로그램 강사비</t>
    <phoneticPr fontId="4" type="noConversion"/>
  </si>
  <si>
    <t xml:space="preserve"> - 고3 수험생프로그램 홍보비</t>
    <phoneticPr fontId="4" type="noConversion"/>
  </si>
  <si>
    <t xml:space="preserve"> - 고3 수험생프로그램 임차비</t>
    <phoneticPr fontId="4" type="noConversion"/>
  </si>
  <si>
    <t>=</t>
    <phoneticPr fontId="5" type="noConversion"/>
  </si>
  <si>
    <t>=</t>
    <phoneticPr fontId="5" type="noConversion"/>
  </si>
  <si>
    <t xml:space="preserve"> - 더심쿵 홍보비</t>
    <phoneticPr fontId="4" type="noConversion"/>
  </si>
  <si>
    <t xml:space="preserve"> - 더심쿵 운영비(물품구입 등)</t>
    <phoneticPr fontId="4" type="noConversion"/>
  </si>
  <si>
    <t xml:space="preserve"> - 더심쿵 임차비</t>
    <phoneticPr fontId="4" type="noConversion"/>
  </si>
  <si>
    <t xml:space="preserve"> - 더심쿵 식비(간식비 등)</t>
    <phoneticPr fontId="4" type="noConversion"/>
  </si>
  <si>
    <t xml:space="preserve"> - 더심쿵 회의식비(간식비 등)</t>
    <phoneticPr fontId="4" type="noConversion"/>
  </si>
  <si>
    <t xml:space="preserve"> - 역량강화사업 홍보비</t>
    <phoneticPr fontId="4" type="noConversion"/>
  </si>
  <si>
    <t xml:space="preserve"> - 역량강화사업 식비(간식비 등)</t>
    <phoneticPr fontId="4" type="noConversion"/>
  </si>
  <si>
    <t xml:space="preserve"> - 역량강화사업 운영비(물품구입 등)</t>
    <phoneticPr fontId="4" type="noConversion"/>
  </si>
  <si>
    <t xml:space="preserve"> - 장학사업 장학금</t>
    <phoneticPr fontId="4" type="noConversion"/>
  </si>
  <si>
    <t xml:space="preserve"> - 장학사업 운영비(물품구입 등)</t>
    <phoneticPr fontId="4" type="noConversion"/>
  </si>
  <si>
    <t xml:space="preserve"> - 장학사업 홍보비</t>
    <phoneticPr fontId="4" type="noConversion"/>
  </si>
  <si>
    <t xml:space="preserve"> - 청소년자원봉사 식비(간식비 등)</t>
    <phoneticPr fontId="4" type="noConversion"/>
  </si>
  <si>
    <t xml:space="preserve"> - 국제교류사업 홍보비</t>
    <phoneticPr fontId="5" type="noConversion"/>
  </si>
  <si>
    <t>=</t>
    <phoneticPr fontId="5" type="noConversion"/>
  </si>
  <si>
    <t xml:space="preserve"> - 국제교류사업 진행비</t>
    <phoneticPr fontId="5" type="noConversion"/>
  </si>
  <si>
    <t>=</t>
    <phoneticPr fontId="5" type="noConversion"/>
  </si>
  <si>
    <t>=</t>
    <phoneticPr fontId="5" type="noConversion"/>
  </si>
  <si>
    <t xml:space="preserve"> - 국제교류사업 숙식비</t>
    <phoneticPr fontId="5" type="noConversion"/>
  </si>
  <si>
    <t xml:space="preserve"> - 권리증진사업 홍보비</t>
    <phoneticPr fontId="4" type="noConversion"/>
  </si>
  <si>
    <t>=</t>
    <phoneticPr fontId="5" type="noConversion"/>
  </si>
  <si>
    <t xml:space="preserve"> - 권리증진사업 식비(간식비 등)</t>
    <phoneticPr fontId="4" type="noConversion"/>
  </si>
  <si>
    <t xml:space="preserve"> - 권리증진사업 운영비(물품구입 등)</t>
    <phoneticPr fontId="4" type="noConversion"/>
  </si>
  <si>
    <t xml:space="preserve"> - 안전특화사업 홍보비</t>
    <phoneticPr fontId="5" type="noConversion"/>
  </si>
  <si>
    <t xml:space="preserve"> - 안전특화사업 운영비(물품구입 등)</t>
    <phoneticPr fontId="5" type="noConversion"/>
  </si>
  <si>
    <t xml:space="preserve"> - 안전특화사업 임차비</t>
    <phoneticPr fontId="5" type="noConversion"/>
  </si>
  <si>
    <t xml:space="preserve"> - 안전특화사업 보험비</t>
    <phoneticPr fontId="5" type="noConversion"/>
  </si>
  <si>
    <t xml:space="preserve"> - 안전특화사업 회의식비(간식비 등)</t>
    <phoneticPr fontId="5" type="noConversion"/>
  </si>
  <si>
    <t>=</t>
    <phoneticPr fontId="5" type="noConversion"/>
  </si>
  <si>
    <t xml:space="preserve"> - 안전특화사업 식비(간식비 등)</t>
    <phoneticPr fontId="5" type="noConversion"/>
  </si>
  <si>
    <t xml:space="preserve"> - 안전특화사업 강사비</t>
    <phoneticPr fontId="5" type="noConversion"/>
  </si>
  <si>
    <t xml:space="preserve"> -인성교육사업 식비(간식비 등)</t>
    <phoneticPr fontId="5" type="noConversion"/>
  </si>
  <si>
    <t>=</t>
    <phoneticPr fontId="5" type="noConversion"/>
  </si>
  <si>
    <t xml:space="preserve"> -인성교육사업 운영비(물품구입 등)</t>
    <phoneticPr fontId="4" type="noConversion"/>
  </si>
  <si>
    <t xml:space="preserve"> -인성교육사업 강사비</t>
    <phoneticPr fontId="4" type="noConversion"/>
  </si>
  <si>
    <t xml:space="preserve"> -바우처연계사업 강사비</t>
    <phoneticPr fontId="5" type="noConversion"/>
  </si>
  <si>
    <t>=</t>
    <phoneticPr fontId="5" type="noConversion"/>
  </si>
  <si>
    <t>­ 교육비</t>
    <phoneticPr fontId="5" type="noConversion"/>
  </si>
  <si>
    <t>=</t>
    <phoneticPr fontId="5" type="noConversion"/>
  </si>
  <si>
    <t>­ 여비</t>
    <phoneticPr fontId="5" type="noConversion"/>
  </si>
  <si>
    <t>­ 명절선물비</t>
    <phoneticPr fontId="5" type="noConversion"/>
  </si>
  <si>
    <t>­ 계약직 명절휴가비</t>
    <phoneticPr fontId="5" type="noConversion"/>
  </si>
  <si>
    <t>- 교육문화프로그램 강사비</t>
    <phoneticPr fontId="5" type="noConversion"/>
  </si>
  <si>
    <t xml:space="preserve">  바리스타</t>
    <phoneticPr fontId="5" type="noConversion"/>
  </si>
  <si>
    <t xml:space="preserve">  캘리그라피&amp;서예</t>
    <phoneticPr fontId="5" type="noConversion"/>
  </si>
  <si>
    <t xml:space="preserve">  풍물</t>
    <phoneticPr fontId="5" type="noConversion"/>
  </si>
  <si>
    <t xml:space="preserve">  종이접기</t>
    <phoneticPr fontId="5" type="noConversion"/>
  </si>
  <si>
    <t xml:space="preserve">  또래체험 역사</t>
    <phoneticPr fontId="5" type="noConversion"/>
  </si>
  <si>
    <t>- 교육문화프로그램 운영비</t>
    <phoneticPr fontId="5" type="noConversion"/>
  </si>
  <si>
    <t xml:space="preserve"> </t>
    <phoneticPr fontId="5" type="noConversion"/>
  </si>
  <si>
    <t xml:space="preserve">  일반운영비</t>
    <phoneticPr fontId="4" type="noConversion"/>
  </si>
  <si>
    <t>- 교육문화프로그램 강사</t>
    <phoneticPr fontId="5" type="noConversion"/>
  </si>
  <si>
    <t xml:space="preserve">  간담회운영비</t>
    <phoneticPr fontId="5" type="noConversion"/>
  </si>
  <si>
    <t xml:space="preserve">  일반운영비</t>
    <phoneticPr fontId="5" type="noConversion"/>
  </si>
  <si>
    <t xml:space="preserve"> - 미디어홍보사업 인쇄비</t>
    <phoneticPr fontId="5" type="noConversion"/>
  </si>
  <si>
    <t xml:space="preserve"> - 미디어홍보사업 식비(간식비 등)</t>
    <phoneticPr fontId="5" type="noConversion"/>
  </si>
  <si>
    <t xml:space="preserve">  ­ 운영비(물품구입 등)</t>
    <phoneticPr fontId="4" type="noConversion"/>
  </si>
  <si>
    <t xml:space="preserve">  ­ 운영비(물품구입 등)</t>
    <phoneticPr fontId="4" type="noConversion"/>
  </si>
  <si>
    <t xml:space="preserve"> - 지역문화축제 운영비(물품구입 등)</t>
    <phoneticPr fontId="4" type="noConversion"/>
  </si>
  <si>
    <t xml:space="preserve"> - 지역문화축제 식비(간식비 등)</t>
    <phoneticPr fontId="4" type="noConversion"/>
  </si>
  <si>
    <t>=</t>
    <phoneticPr fontId="5" type="noConversion"/>
  </si>
  <si>
    <t xml:space="preserve"> -꿈터예술제 홍보비</t>
    <phoneticPr fontId="4" type="noConversion"/>
  </si>
  <si>
    <t xml:space="preserve"> -꿈터예술제 운영비(물품구입 등)</t>
    <phoneticPr fontId="4" type="noConversion"/>
  </si>
  <si>
    <t xml:space="preserve"> - 창의적체험활동 운영비(물품구입 등)</t>
    <phoneticPr fontId="4" type="noConversion"/>
  </si>
  <si>
    <t xml:space="preserve"> - 창의적체험활동 강사비</t>
    <phoneticPr fontId="4" type="noConversion"/>
  </si>
  <si>
    <t xml:space="preserve"> - 자유학년제 홍보비</t>
    <phoneticPr fontId="5" type="noConversion"/>
  </si>
  <si>
    <t xml:space="preserve"> - 자유학년제 강사비</t>
    <phoneticPr fontId="5" type="noConversion"/>
  </si>
  <si>
    <t xml:space="preserve"> - 자유학년제 운영비(물품구입 등)</t>
    <phoneticPr fontId="5" type="noConversion"/>
  </si>
  <si>
    <t xml:space="preserve"> </t>
    <phoneticPr fontId="4" type="noConversion"/>
  </si>
  <si>
    <t xml:space="preserve"> - 자유학년제 식비(간식비 등)</t>
    <phoneticPr fontId="5" type="noConversion"/>
  </si>
  <si>
    <t xml:space="preserve"> - 수련관운영위원회 식비(간식비 등)</t>
    <phoneticPr fontId="4" type="noConversion"/>
  </si>
  <si>
    <t xml:space="preserve"> - 농구대회 인건비</t>
    <phoneticPr fontId="4" type="noConversion"/>
  </si>
  <si>
    <t>=</t>
    <phoneticPr fontId="5" type="noConversion"/>
  </si>
  <si>
    <t xml:space="preserve"> - 농구대회 홍보비</t>
    <phoneticPr fontId="4" type="noConversion"/>
  </si>
  <si>
    <t>=</t>
    <phoneticPr fontId="5" type="noConversion"/>
  </si>
  <si>
    <t xml:space="preserve"> - 농구대회 식비(간식비 등)</t>
    <phoneticPr fontId="4" type="noConversion"/>
  </si>
  <si>
    <t>- 자산취득비(냉온풍기구입)</t>
    <phoneticPr fontId="5" type="noConversion"/>
  </si>
  <si>
    <t>=</t>
    <phoneticPr fontId="5" type="noConversion"/>
  </si>
  <si>
    <t>­ 또래상담동아리 강사비</t>
    <phoneticPr fontId="4" type="noConversion"/>
  </si>
  <si>
    <t>­ 또래상담동아리 운영비(물품구입비)</t>
    <phoneticPr fontId="4" type="noConversion"/>
  </si>
  <si>
    <t>­ 또래상담동아리 사례발간비</t>
    <phoneticPr fontId="4" type="noConversion"/>
  </si>
  <si>
    <t>­ 또래상담교육 강사비</t>
    <phoneticPr fontId="4" type="noConversion"/>
  </si>
  <si>
    <t>­ 또래상담교육 운영비(물품구입비)</t>
    <phoneticPr fontId="4" type="noConversion"/>
  </si>
  <si>
    <t>­ 부모교육특강 및 집단상담 강사비</t>
    <phoneticPr fontId="4" type="noConversion"/>
  </si>
  <si>
    <t>­ 부모교육특강 운영비(물품구입비)</t>
    <phoneticPr fontId="4" type="noConversion"/>
  </si>
  <si>
    <t>­ 부모교육특강 및 집단상담 홍보비</t>
    <phoneticPr fontId="4" type="noConversion"/>
  </si>
  <si>
    <t>­ 카운슬러대학 강사비</t>
    <phoneticPr fontId="4" type="noConversion"/>
  </si>
  <si>
    <t>­ 카운슬러대학 운영비(물품구입비)</t>
    <phoneticPr fontId="4" type="noConversion"/>
  </si>
  <si>
    <t>­ 카운슬러대학 홍보비</t>
    <phoneticPr fontId="4" type="noConversion"/>
  </si>
  <si>
    <t>­ 집단프로그램 강사비</t>
    <phoneticPr fontId="4" type="noConversion"/>
  </si>
  <si>
    <t>­ 집단프로그램 홍보비</t>
    <phoneticPr fontId="5" type="noConversion"/>
  </si>
  <si>
    <t>­ 심리검사비</t>
    <phoneticPr fontId="4" type="noConversion"/>
  </si>
  <si>
    <t>­ 사례교육프로그램 강사비</t>
    <phoneticPr fontId="4" type="noConversion"/>
  </si>
  <si>
    <t>­ 사례교육프로그램 평가회비(식비)</t>
    <phoneticPr fontId="4" type="noConversion"/>
  </si>
  <si>
    <t xml:space="preserve">× </t>
    <phoneticPr fontId="5" type="noConversion"/>
  </si>
  <si>
    <t>­ 집단 및 상설 강사비</t>
    <phoneticPr fontId="4" type="noConversion"/>
  </si>
  <si>
    <t>­ 집담 및 상설 운영비(물품구입비)</t>
    <phoneticPr fontId="4" type="noConversion"/>
  </si>
  <si>
    <t>­ 식음료 판매수입</t>
  </si>
  <si>
    <t>-  홍보물 인쇄비</t>
    <phoneticPr fontId="4" type="noConversion"/>
  </si>
  <si>
    <t>-  홍보진행비( 문자충전)</t>
    <phoneticPr fontId="4" type="noConversion"/>
  </si>
  <si>
    <t>-  운영지원활동비 (멘토강사비)</t>
    <phoneticPr fontId="4" type="noConversion"/>
  </si>
  <si>
    <t xml:space="preserve">-  보드게임 구비비 </t>
    <phoneticPr fontId="4" type="noConversion"/>
  </si>
  <si>
    <t>-  운영비(무료음료, 간식 지원)</t>
    <phoneticPr fontId="4" type="noConversion"/>
  </si>
  <si>
    <t>-  운영비(쿠폰사용 무료음료)</t>
    <phoneticPr fontId="4" type="noConversion"/>
  </si>
  <si>
    <t>-  진행비(청소년 필요물품 지원)</t>
    <phoneticPr fontId="4" type="noConversion"/>
  </si>
  <si>
    <t>-  진행비( 다과 및 문구비)</t>
    <phoneticPr fontId="4" type="noConversion"/>
  </si>
  <si>
    <t xml:space="preserve">­ 운영지원활동비(자치활동지도멘토비) </t>
    <phoneticPr fontId="4" type="noConversion"/>
  </si>
  <si>
    <t>- 운영지원 활동비(봉사활동지도멘토비)</t>
    <phoneticPr fontId="4" type="noConversion"/>
  </si>
  <si>
    <t xml:space="preserve">   - 북콘서트</t>
    <phoneticPr fontId="5" type="noConversion"/>
  </si>
  <si>
    <t xml:space="preserve">      · 작가초청비</t>
    <phoneticPr fontId="5" type="noConversion"/>
  </si>
  <si>
    <t>=</t>
    <phoneticPr fontId="5" type="noConversion"/>
  </si>
  <si>
    <t xml:space="preserve">      · 도서구입비</t>
    <phoneticPr fontId="5" type="noConversion"/>
  </si>
  <si>
    <t xml:space="preserve">      · 간식구입비</t>
    <phoneticPr fontId="5" type="noConversion"/>
  </si>
  <si>
    <t xml:space="preserve">   - 독서동아리 간식비</t>
    <phoneticPr fontId="5" type="noConversion"/>
  </si>
  <si>
    <t xml:space="preserve">   - 책보따리</t>
    <phoneticPr fontId="5" type="noConversion"/>
  </si>
  <si>
    <t xml:space="preserve">      · 재료구입비</t>
    <phoneticPr fontId="5" type="noConversion"/>
  </si>
  <si>
    <t xml:space="preserve">      · 인력사례비</t>
    <phoneticPr fontId="5" type="noConversion"/>
  </si>
  <si>
    <t xml:space="preserve">   - 청소년연대 회의진행비</t>
    <phoneticPr fontId="5" type="noConversion"/>
  </si>
  <si>
    <t xml:space="preserve">   - 회의진행비</t>
    <phoneticPr fontId="5" type="noConversion"/>
  </si>
  <si>
    <t xml:space="preserve">   -  강사초청비</t>
    <phoneticPr fontId="5" type="noConversion"/>
  </si>
  <si>
    <t xml:space="preserve">   -  재료구입비</t>
    <phoneticPr fontId="5" type="noConversion"/>
  </si>
  <si>
    <t xml:space="preserve">   -  기타제잡비</t>
    <phoneticPr fontId="5" type="noConversion"/>
  </si>
  <si>
    <t xml:space="preserve">  - 답사 및 회의진행비</t>
    <phoneticPr fontId="5" type="noConversion"/>
  </si>
  <si>
    <t xml:space="preserve">  - 강사초청비</t>
    <phoneticPr fontId="5" type="noConversion"/>
  </si>
  <si>
    <t xml:space="preserve">  - 간식구입비</t>
    <phoneticPr fontId="5" type="noConversion"/>
  </si>
  <si>
    <t xml:space="preserve">  - 기타제잡비</t>
    <phoneticPr fontId="5" type="noConversion"/>
  </si>
  <si>
    <t>- 락존운영(보드게임,도서구입등)</t>
  </si>
  <si>
    <t>- 셀프바운영(식자재)</t>
  </si>
  <si>
    <t>- 무대 및 장비대여비</t>
  </si>
  <si>
    <t>- 축제운영비(물품구입등)</t>
  </si>
  <si>
    <t>- 식비(간식비등)</t>
  </si>
  <si>
    <t>­ 행사운영비(물품구입등)</t>
  </si>
  <si>
    <t>- 행사홍보비</t>
  </si>
  <si>
    <t>- 포럼진행비</t>
  </si>
  <si>
    <t>- 포럼운영비(물품구입등)</t>
    <phoneticPr fontId="4" type="noConversion"/>
  </si>
  <si>
    <t>­ 기타운영비</t>
  </si>
  <si>
    <t>­ 재료구입비</t>
    <phoneticPr fontId="4" type="noConversion"/>
  </si>
  <si>
    <t xml:space="preserve">× </t>
    <phoneticPr fontId="63" type="noConversion"/>
  </si>
  <si>
    <t>­ 판매수입</t>
    <phoneticPr fontId="63" type="noConversion"/>
  </si>
  <si>
    <t xml:space="preserve">× </t>
    <phoneticPr fontId="63" type="noConversion"/>
  </si>
  <si>
    <t>=</t>
    <phoneticPr fontId="63" type="noConversion"/>
  </si>
  <si>
    <t>623-2 경기도교육청</t>
    <phoneticPr fontId="4" type="noConversion"/>
  </si>
  <si>
    <t>732 민간사업비</t>
  </si>
  <si>
    <t>732-1 청소년 참여와 활동</t>
    <phoneticPr fontId="4" type="noConversion"/>
  </si>
  <si>
    <t>775-4 기타영업외비용</t>
    <phoneticPr fontId="4" type="noConversion"/>
  </si>
  <si>
    <t>732 민간사업비</t>
    <phoneticPr fontId="4" type="noConversion"/>
  </si>
  <si>
    <t>731-1 청소년 참여와 활동</t>
    <phoneticPr fontId="4" type="noConversion"/>
  </si>
  <si>
    <t>628-6 기타영업외수익</t>
    <phoneticPr fontId="4" type="noConversion"/>
  </si>
  <si>
    <t>ㅇ대안교육 단기위탁</t>
  </si>
  <si>
    <t>ㅇ지역사회 문화축제</t>
  </si>
  <si>
    <t>ㅇ고양청소년야영학교</t>
  </si>
  <si>
    <t>ㅇ고양누리길 프로그램</t>
  </si>
  <si>
    <t>ㅇ역사사랑 하이킹대회</t>
  </si>
  <si>
    <t>ㅇ청소년 안전문화교실</t>
  </si>
  <si>
    <t>ㅇ워크숍 등</t>
    <phoneticPr fontId="5" type="noConversion"/>
  </si>
  <si>
    <t>ㅇ고양시청소년민주시민교육</t>
    <phoneticPr fontId="5" type="noConversion"/>
  </si>
  <si>
    <t>`</t>
    <phoneticPr fontId="4" type="noConversion"/>
  </si>
  <si>
    <t>ㅇ세대공감프로젝트</t>
  </si>
  <si>
    <t>ㅇ청소년정책사업</t>
  </si>
  <si>
    <t>ㅇ대학생서포터즈</t>
    <phoneticPr fontId="5" type="noConversion"/>
  </si>
  <si>
    <t>ㅇ글로벌식문화축제</t>
  </si>
  <si>
    <t>ㅇ과학창의프로그램</t>
  </si>
  <si>
    <t>ㅇ가족공감프로그램1</t>
  </si>
  <si>
    <t>ㅇ가족공감프로그램2</t>
  </si>
  <si>
    <t>ㅇ세대공감프로그램</t>
  </si>
  <si>
    <t>ㅇ멘토링</t>
  </si>
  <si>
    <t>ㅇ공간운영</t>
  </si>
  <si>
    <t>ㅇ청소년인권증진프로그램</t>
  </si>
  <si>
    <t>ㅇ청소년안전교육</t>
  </si>
  <si>
    <t>ㅇ지은이</t>
  </si>
  <si>
    <t>ㅇ세계놀이문화 체험</t>
  </si>
  <si>
    <t>ㅇ청소년자원봉사</t>
  </si>
  <si>
    <t>ㅇ지역사회 연계협력 확대</t>
  </si>
  <si>
    <t>ㅇ지역사회 홍보 강화</t>
    <phoneticPr fontId="4" type="noConversion"/>
  </si>
  <si>
    <t>ㅇ청소년카페시설운영</t>
  </si>
  <si>
    <t>ㅇ청소년방학특강</t>
  </si>
  <si>
    <t>ㅇ지역동아리활성화</t>
  </si>
  <si>
    <t>ㅇ청소년 자치동아리 연합활동</t>
  </si>
  <si>
    <t>ㅇ상상 Volunteer</t>
  </si>
  <si>
    <t>ㅇ수련관 복합 공간 페스티벌 [쉼표 그라운드]</t>
  </si>
  <si>
    <t>ㅇ수험생 청소년축제 사업 [수고했어, 올해도]</t>
  </si>
  <si>
    <t>ㅇ인(人)사이드</t>
  </si>
  <si>
    <t>ㅇ일산서구 이동식 버스킹 프로그램 [피리 부는 고양이]</t>
  </si>
  <si>
    <t>ㅇ홍보사업운영</t>
  </si>
  <si>
    <t>ㅇ시.그.널(시월의 그날을 널리 알리다)</t>
  </si>
  <si>
    <t>ㅇ청소년자원봉사활동</t>
  </si>
  <si>
    <t>ㅇ청소년동아리자치활동(비품수리)</t>
    <phoneticPr fontId="4" type="noConversion"/>
  </si>
  <si>
    <t>o 청소년동아리</t>
  </si>
  <si>
    <t>o 청소년해피타임</t>
  </si>
  <si>
    <t>o 청소년자치기구</t>
  </si>
  <si>
    <t>o 푸른청소년문화제(자부담)</t>
  </si>
  <si>
    <t>o 청소년지도사 역량강화사업</t>
  </si>
  <si>
    <t>o고양청소년야영학교</t>
  </si>
  <si>
    <t>o 고양누리길탐방(자부담)</t>
  </si>
  <si>
    <t>o 우리는챔피언(자부담)</t>
  </si>
  <si>
    <t>- 이동식거울 파티션</t>
    <phoneticPr fontId="4" type="noConversion"/>
  </si>
  <si>
    <t>- 이동식발전기</t>
    <phoneticPr fontId="4" type="noConversion"/>
  </si>
  <si>
    <t>­ 데스크탑 컴퓨터</t>
    <phoneticPr fontId="5" type="noConversion"/>
  </si>
  <si>
    <t>­ 선풍기(벽걸이형, 천장형)</t>
    <phoneticPr fontId="5" type="noConversion"/>
  </si>
  <si>
    <t>사무국</t>
    <phoneticPr fontId="4" type="noConversion"/>
  </si>
  <si>
    <t>­ 국외여비(지도자 출장일비)</t>
    <phoneticPr fontId="5" type="noConversion"/>
  </si>
  <si>
    <t>­ 국외여비(지도자 교통비)</t>
    <phoneticPr fontId="5" type="noConversion"/>
  </si>
  <si>
    <t>- 워크숍 운영비</t>
    <phoneticPr fontId="4" type="noConversion"/>
  </si>
  <si>
    <t>- 워크숍 숙식비</t>
    <phoneticPr fontId="4" type="noConversion"/>
  </si>
  <si>
    <t>=</t>
    <phoneticPr fontId="4" type="noConversion"/>
  </si>
  <si>
    <t>- 워크숍 식비</t>
    <phoneticPr fontId="4" type="noConversion"/>
  </si>
  <si>
    <t>­ 워크숍 식비(간식비)</t>
    <phoneticPr fontId="4" type="noConversion"/>
  </si>
  <si>
    <t>­ 건축설비유지관리비(4층 냉온정수기 급수라인 공사)</t>
    <phoneticPr fontId="4" type="noConversion"/>
  </si>
  <si>
    <t xml:space="preserve">× </t>
    <phoneticPr fontId="4" type="noConversion"/>
  </si>
  <si>
    <t>­ 건축설비유지관리비(방화문 화재감지 도어클로저 설치)</t>
    <phoneticPr fontId="4" type="noConversion"/>
  </si>
  <si>
    <t>­ 건축설비유지관리비(4층 인공암벽장 FCU 보호가드 설치 공사)</t>
    <phoneticPr fontId="4" type="noConversion"/>
  </si>
  <si>
    <t>=</t>
    <phoneticPr fontId="4" type="noConversion"/>
  </si>
  <si>
    <t>­ 조경 수선공사비</t>
    <phoneticPr fontId="4" type="noConversion"/>
  </si>
  <si>
    <t>­ 북카페 환경개선비</t>
    <phoneticPr fontId="4" type="noConversion"/>
  </si>
  <si>
    <t>­ 창고설치공사비</t>
    <phoneticPr fontId="4" type="noConversion"/>
  </si>
  <si>
    <t>­ 우레탄 방수공사비</t>
    <phoneticPr fontId="4" type="noConversion"/>
  </si>
  <si>
    <t>­ 도로 이정표 설치비</t>
    <phoneticPr fontId="4" type="noConversion"/>
  </si>
  <si>
    <t>­ 외부벽체 실리콘 방수공사비</t>
    <phoneticPr fontId="4" type="noConversion"/>
  </si>
  <si>
    <t>­ 공조기 및 환기필터 교체 용역비</t>
    <phoneticPr fontId="4" type="noConversion"/>
  </si>
  <si>
    <t>- 기타 건축설비 유지관리비</t>
    <phoneticPr fontId="4" type="noConversion"/>
  </si>
  <si>
    <t>- 회의 참석수당</t>
    <phoneticPr fontId="63" type="noConversion"/>
  </si>
  <si>
    <t>=</t>
    <phoneticPr fontId="63" type="noConversion"/>
  </si>
  <si>
    <t>- 운영위원회 식비</t>
    <phoneticPr fontId="63" type="noConversion"/>
  </si>
  <si>
    <t>=</t>
    <phoneticPr fontId="63" type="noConversion"/>
  </si>
  <si>
    <t>- 운영위원회 운영비</t>
    <phoneticPr fontId="63" type="noConversion"/>
  </si>
  <si>
    <t>=</t>
    <phoneticPr fontId="63" type="noConversion"/>
  </si>
  <si>
    <t>­ 청소용소모품비</t>
    <phoneticPr fontId="4" type="noConversion"/>
  </si>
  <si>
    <t xml:space="preserve">× </t>
    <phoneticPr fontId="63" type="noConversion"/>
  </si>
  <si>
    <t>722-1 청소년 참여와 활동</t>
    <phoneticPr fontId="4" type="noConversion"/>
  </si>
  <si>
    <t>­ 회의진행비</t>
    <phoneticPr fontId="5" type="noConversion"/>
  </si>
  <si>
    <t>­ 활동운영비</t>
    <phoneticPr fontId="5" type="noConversion"/>
  </si>
  <si>
    <t>ㅇ락카페운영비</t>
    <phoneticPr fontId="5" type="noConversion"/>
  </si>
  <si>
    <t>­ 셀프바자재구입</t>
    <phoneticPr fontId="4" type="noConversion"/>
  </si>
  <si>
    <t>­ 부서운영업무추진비</t>
    <phoneticPr fontId="5" type="noConversion"/>
  </si>
  <si>
    <t>인건비</t>
    <phoneticPr fontId="4" type="noConversion"/>
  </si>
  <si>
    <t>경비</t>
    <phoneticPr fontId="4" type="noConversion"/>
  </si>
  <si>
    <t>목적사업비</t>
    <phoneticPr fontId="4" type="noConversion"/>
  </si>
  <si>
    <t>`</t>
    <phoneticPr fontId="4" type="noConversion"/>
  </si>
  <si>
    <t>=</t>
    <phoneticPr fontId="4" type="noConversion"/>
  </si>
  <si>
    <t xml:space="preserve">    - 고양시청소년연합아웃리치</t>
    <phoneticPr fontId="5" type="noConversion"/>
  </si>
  <si>
    <t>­ 시설운영물품(청소용품, 약품 등)</t>
    <phoneticPr fontId="5" type="noConversion"/>
  </si>
  <si>
    <t>o 국제교류사업</t>
    <phoneticPr fontId="5" type="noConversion"/>
  </si>
  <si>
    <t>­ 조직진단컨설팅연구용역</t>
    <phoneticPr fontId="5" type="noConversion"/>
  </si>
  <si>
    <t>목           차</t>
    <phoneticPr fontId="4" type="noConversion"/>
  </si>
  <si>
    <t>예산총칙</t>
    <phoneticPr fontId="4" type="noConversion"/>
  </si>
  <si>
    <t>2019년 세입·세출예산(안)</t>
    <phoneticPr fontId="4" type="noConversion"/>
  </si>
  <si>
    <t>○ 2019년 시설별 예산(안) 총괄표</t>
    <phoneticPr fontId="4" type="noConversion"/>
  </si>
  <si>
    <t>○ 2019년 세입·세출예산(안) 세부 총괄표</t>
    <phoneticPr fontId="4" type="noConversion"/>
  </si>
  <si>
    <t>세입예산 사업내역서</t>
    <phoneticPr fontId="4" type="noConversion"/>
  </si>
  <si>
    <t>세출예산 사업내역서</t>
    <phoneticPr fontId="4" type="noConversion"/>
  </si>
  <si>
    <t>○ 사무국</t>
    <phoneticPr fontId="4" type="noConversion"/>
  </si>
  <si>
    <t>○ 마두청소년수련관</t>
    <phoneticPr fontId="4" type="noConversion"/>
  </si>
  <si>
    <t>○ 고양시청소년진로센터</t>
    <phoneticPr fontId="4" type="noConversion"/>
  </si>
  <si>
    <t>○ 성사청소년문화의집</t>
    <phoneticPr fontId="4" type="noConversion"/>
  </si>
  <si>
    <t>○ 탄현청소년문화의집</t>
    <phoneticPr fontId="4" type="noConversion"/>
  </si>
  <si>
    <t>○ 주교동청소년카페</t>
    <phoneticPr fontId="4" type="noConversion"/>
  </si>
  <si>
    <t>○ 일산서구청소년수련관</t>
    <phoneticPr fontId="4" type="noConversion"/>
  </si>
  <si>
    <t>○ 토당청소년수련관</t>
    <phoneticPr fontId="4" type="noConversion"/>
  </si>
  <si>
    <t>○ 고양시청소년상담복지센터</t>
    <phoneticPr fontId="4" type="noConversion"/>
  </si>
  <si>
    <t>○ 화정청소년카페</t>
    <phoneticPr fontId="4" type="noConversion"/>
  </si>
  <si>
    <t>○ 백마역청소년카페</t>
    <phoneticPr fontId="4" type="noConversion"/>
  </si>
  <si>
    <t>○ 능곡역청소년카페</t>
    <phoneticPr fontId="4" type="noConversion"/>
  </si>
  <si>
    <t xml:space="preserve"> </t>
    <phoneticPr fontId="4" type="noConversion"/>
  </si>
  <si>
    <t xml:space="preserve"> ㆍ동아리활동진행비</t>
    <phoneticPr fontId="5" type="noConversion"/>
  </si>
  <si>
    <t>611-1 사업운영수익</t>
    <phoneticPr fontId="4" type="noConversion"/>
  </si>
  <si>
    <t>611-2 참가금수익</t>
    <phoneticPr fontId="4" type="noConversion"/>
  </si>
  <si>
    <t>611-2  참가금수익</t>
    <phoneticPr fontId="4" type="noConversion"/>
  </si>
  <si>
    <t>617-1 시설사용료수익</t>
    <phoneticPr fontId="4" type="noConversion"/>
  </si>
  <si>
    <t>618-2 기타판매수익</t>
    <phoneticPr fontId="4" type="noConversion"/>
  </si>
  <si>
    <t>172-3 전년도이월사업비</t>
    <phoneticPr fontId="4" type="noConversion"/>
  </si>
  <si>
    <t>611-1 사업운영수익</t>
    <phoneticPr fontId="4" type="noConversion"/>
  </si>
  <si>
    <t>621-1 예금이자수익</t>
    <phoneticPr fontId="4" type="noConversion"/>
  </si>
  <si>
    <t>623-1 국도시비보조금</t>
    <phoneticPr fontId="4" type="noConversion"/>
  </si>
  <si>
    <t>172-3 전년도이월사업비</t>
    <phoneticPr fontId="4" type="noConversion"/>
  </si>
  <si>
    <t>621-1 예금이자수익</t>
    <phoneticPr fontId="4" type="noConversion"/>
  </si>
  <si>
    <t>623-1 국도시비보조금</t>
    <phoneticPr fontId="4" type="noConversion"/>
  </si>
  <si>
    <t>623-1 국도시비보조금</t>
    <phoneticPr fontId="4" type="noConversion"/>
  </si>
  <si>
    <t>101 급여</t>
    <phoneticPr fontId="4" type="noConversion"/>
  </si>
  <si>
    <t>221 연구개발비</t>
    <phoneticPr fontId="4" type="noConversion"/>
  </si>
  <si>
    <t>722-2 지역사회 네트워킹</t>
    <phoneticPr fontId="4" type="noConversion"/>
  </si>
  <si>
    <t>722-4 경영시스템 구축</t>
    <phoneticPr fontId="4" type="noConversion"/>
  </si>
  <si>
    <t>101 급여</t>
    <phoneticPr fontId="4" type="noConversion"/>
  </si>
  <si>
    <t>102 제수당</t>
    <phoneticPr fontId="4" type="noConversion"/>
  </si>
  <si>
    <t>106 퇴직급여</t>
    <phoneticPr fontId="4" type="noConversion"/>
  </si>
  <si>
    <t>201 복리후생비</t>
    <phoneticPr fontId="4" type="noConversion"/>
  </si>
  <si>
    <t>206 소모품비</t>
    <phoneticPr fontId="4" type="noConversion"/>
  </si>
  <si>
    <t>209 지급임차료</t>
    <phoneticPr fontId="4" type="noConversion"/>
  </si>
  <si>
    <t>213 지급수수료</t>
    <phoneticPr fontId="4" type="noConversion"/>
  </si>
  <si>
    <t>722-1 청소년참여와 활동</t>
    <phoneticPr fontId="4" type="noConversion"/>
  </si>
  <si>
    <t>722-2 청소년보호와안전</t>
    <phoneticPr fontId="4" type="noConversion"/>
  </si>
  <si>
    <t>722-3 지역사회 네트워킹</t>
    <phoneticPr fontId="4" type="noConversion"/>
  </si>
  <si>
    <t>105 기간제근로자보수</t>
    <phoneticPr fontId="4" type="noConversion"/>
  </si>
  <si>
    <t>775-4 기타영업외비용</t>
    <phoneticPr fontId="4" type="noConversion"/>
  </si>
  <si>
    <t>210 수선유지비</t>
    <phoneticPr fontId="4" type="noConversion"/>
  </si>
  <si>
    <t>775-4 기타영업외비용</t>
    <phoneticPr fontId="4" type="noConversion"/>
  </si>
  <si>
    <t>206 소모품비</t>
    <phoneticPr fontId="4" type="noConversion"/>
  </si>
  <si>
    <t>215 관서업무비</t>
    <phoneticPr fontId="4" type="noConversion"/>
  </si>
  <si>
    <t>204 수도광열비</t>
    <phoneticPr fontId="4" type="noConversion"/>
  </si>
  <si>
    <t>207 피복비</t>
    <phoneticPr fontId="4" type="noConversion"/>
  </si>
  <si>
    <t>216 교육훈련비</t>
    <phoneticPr fontId="4" type="noConversion"/>
  </si>
  <si>
    <t>405-1 자산취득비</t>
    <phoneticPr fontId="4" type="noConversion"/>
  </si>
  <si>
    <t>731-2 청소년 보호와 안전</t>
    <phoneticPr fontId="4" type="noConversion"/>
  </si>
  <si>
    <t>105 기간제근로자보수</t>
    <phoneticPr fontId="4" type="noConversion"/>
  </si>
  <si>
    <t>731-3 지역사회 네트워킹</t>
    <phoneticPr fontId="4" type="noConversion"/>
  </si>
  <si>
    <t>722-4 경영시스템 구축</t>
    <phoneticPr fontId="4" type="noConversion"/>
  </si>
  <si>
    <t>775-4 기타영업외비용</t>
    <phoneticPr fontId="4" type="noConversion"/>
  </si>
  <si>
    <t>810-1 예비비</t>
    <phoneticPr fontId="4" type="noConversion"/>
  </si>
  <si>
    <t>713-1 성과급</t>
    <phoneticPr fontId="4" type="noConversion"/>
  </si>
  <si>
    <t>405-1 자산취득비</t>
    <phoneticPr fontId="4" type="noConversion"/>
  </si>
  <si>
    <t>217 재료비기타</t>
    <phoneticPr fontId="4" type="noConversion"/>
  </si>
  <si>
    <t>216 교육훈련비</t>
    <phoneticPr fontId="4" type="noConversion"/>
  </si>
  <si>
    <t>210 수선유지비</t>
    <phoneticPr fontId="4" type="noConversion"/>
  </si>
  <si>
    <t>208 도서인쇄비</t>
    <phoneticPr fontId="4" type="noConversion"/>
  </si>
  <si>
    <t>203 공공요금 및 제세</t>
    <phoneticPr fontId="4" type="noConversion"/>
  </si>
  <si>
    <t>202 여비</t>
    <phoneticPr fontId="4" type="noConversion"/>
  </si>
  <si>
    <t>208 도서인쇄비</t>
    <phoneticPr fontId="4" type="noConversion"/>
  </si>
  <si>
    <t>208 도서인쇄비</t>
    <phoneticPr fontId="4" type="noConversion"/>
  </si>
  <si>
    <t>105 기간제근로자보수</t>
    <phoneticPr fontId="4" type="noConversion"/>
  </si>
  <si>
    <t>106 퇴직급여</t>
    <phoneticPr fontId="4" type="noConversion"/>
  </si>
  <si>
    <t>201 복리후생비</t>
    <phoneticPr fontId="4" type="noConversion"/>
  </si>
  <si>
    <t>204 수도광열비</t>
    <phoneticPr fontId="4" type="noConversion"/>
  </si>
  <si>
    <t>210 수선유지비</t>
    <phoneticPr fontId="4" type="noConversion"/>
  </si>
  <si>
    <t>211 차량유지비</t>
    <phoneticPr fontId="4" type="noConversion"/>
  </si>
  <si>
    <t>216 교육훈련비</t>
    <phoneticPr fontId="4" type="noConversion"/>
  </si>
  <si>
    <t>217 재료비기타</t>
    <phoneticPr fontId="4" type="noConversion"/>
  </si>
  <si>
    <t>405-1 자산취득비</t>
    <phoneticPr fontId="4" type="noConversion"/>
  </si>
  <si>
    <t>721-1 국도시비보조금사업비</t>
    <phoneticPr fontId="4" type="noConversion"/>
  </si>
  <si>
    <t>721-2 경기도교육청사업비</t>
    <phoneticPr fontId="4" type="noConversion"/>
  </si>
  <si>
    <t>722-1 청소년참여와 활동</t>
    <phoneticPr fontId="4" type="noConversion"/>
  </si>
  <si>
    <t>722-3 지역사회 네트워킹</t>
    <phoneticPr fontId="4" type="noConversion"/>
  </si>
  <si>
    <t>201 복리후생비</t>
    <phoneticPr fontId="4" type="noConversion"/>
  </si>
  <si>
    <t>202 여비</t>
    <phoneticPr fontId="4" type="noConversion"/>
  </si>
  <si>
    <t>214 업무추진비</t>
    <phoneticPr fontId="4" type="noConversion"/>
  </si>
  <si>
    <t>216 교육훈련비</t>
    <phoneticPr fontId="4" type="noConversion"/>
  </si>
  <si>
    <t>201 복리후생비</t>
    <phoneticPr fontId="4" type="noConversion"/>
  </si>
  <si>
    <t>203 공공요금 및 제세</t>
    <phoneticPr fontId="4" type="noConversion"/>
  </si>
  <si>
    <t>208 도서인쇄비</t>
    <phoneticPr fontId="4" type="noConversion"/>
  </si>
  <si>
    <t>210 수선유지비</t>
    <phoneticPr fontId="4" type="noConversion"/>
  </si>
  <si>
    <t>213 지급수수료</t>
    <phoneticPr fontId="4" type="noConversion"/>
  </si>
  <si>
    <t>722-2 청소년 보호와 안전</t>
    <phoneticPr fontId="4" type="noConversion"/>
  </si>
  <si>
    <t>203 공공요금 및 제세</t>
    <phoneticPr fontId="4" type="noConversion"/>
  </si>
  <si>
    <t>206 소모품비</t>
    <phoneticPr fontId="4" type="noConversion"/>
  </si>
  <si>
    <t>208 도서인쇄비</t>
    <phoneticPr fontId="4" type="noConversion"/>
  </si>
  <si>
    <t>214 업무추진비</t>
    <phoneticPr fontId="4" type="noConversion"/>
  </si>
  <si>
    <t>218 행사홍보비</t>
    <phoneticPr fontId="4" type="noConversion"/>
  </si>
  <si>
    <t>405-1 자산취득비</t>
    <phoneticPr fontId="4" type="noConversion"/>
  </si>
  <si>
    <t>721-1 국도시비보조금사업비</t>
    <phoneticPr fontId="4" type="noConversion"/>
  </si>
  <si>
    <t>721-2 교육청사업비</t>
    <phoneticPr fontId="4" type="noConversion"/>
  </si>
  <si>
    <t>722-1 청소년 참여와 활동</t>
    <phoneticPr fontId="4" type="noConversion"/>
  </si>
  <si>
    <t>722-2 청소년 보호와 안전</t>
    <phoneticPr fontId="4" type="noConversion"/>
  </si>
  <si>
    <t>204 수도광열비</t>
    <phoneticPr fontId="4" type="noConversion"/>
  </si>
  <si>
    <t>209 지급임차료</t>
    <phoneticPr fontId="4" type="noConversion"/>
  </si>
  <si>
    <t>212 보험료</t>
    <phoneticPr fontId="4" type="noConversion"/>
  </si>
  <si>
    <t>213 지급수수료</t>
    <phoneticPr fontId="4" type="noConversion"/>
  </si>
  <si>
    <t>775-4 기타영업외비용</t>
    <phoneticPr fontId="4" type="noConversion"/>
  </si>
  <si>
    <t>731-1 청소년 참여와 활동</t>
    <phoneticPr fontId="4" type="noConversion"/>
  </si>
  <si>
    <t>405-1 자산취득비</t>
    <phoneticPr fontId="4" type="noConversion"/>
  </si>
  <si>
    <t>218 행사홍보비</t>
    <phoneticPr fontId="4" type="noConversion"/>
  </si>
  <si>
    <t>216 교육훈련비</t>
    <phoneticPr fontId="4" type="noConversion"/>
  </si>
  <si>
    <t>215 관서업무비</t>
    <phoneticPr fontId="4" type="noConversion"/>
  </si>
  <si>
    <t>214 업무추진비</t>
    <phoneticPr fontId="4" type="noConversion"/>
  </si>
  <si>
    <t>213 지급수수료</t>
    <phoneticPr fontId="4" type="noConversion"/>
  </si>
  <si>
    <t>722-4 지역사회네트워킹</t>
    <phoneticPr fontId="4" type="noConversion"/>
  </si>
  <si>
    <t>722-1 청소년참여와 활동</t>
    <phoneticPr fontId="4" type="noConversion"/>
  </si>
  <si>
    <t>217 재료비기타</t>
    <phoneticPr fontId="4" type="noConversion"/>
  </si>
  <si>
    <t>214 업무추진비</t>
    <phoneticPr fontId="4" type="noConversion"/>
  </si>
  <si>
    <t>210 수선유지비</t>
    <phoneticPr fontId="4" type="noConversion"/>
  </si>
  <si>
    <t>207 피복비</t>
    <phoneticPr fontId="4" type="noConversion"/>
  </si>
  <si>
    <t>203 공공요금 및 제세</t>
    <phoneticPr fontId="4" type="noConversion"/>
  </si>
  <si>
    <t>202 여비</t>
    <phoneticPr fontId="4" type="noConversion"/>
  </si>
  <si>
    <t>101 급여</t>
    <phoneticPr fontId="4" type="noConversion"/>
  </si>
  <si>
    <t>104 무기계약근로자보수</t>
    <phoneticPr fontId="4" type="noConversion"/>
  </si>
  <si>
    <t>210 수선유지비</t>
    <phoneticPr fontId="4" type="noConversion"/>
  </si>
  <si>
    <t>214 업무추진비</t>
    <phoneticPr fontId="4" type="noConversion"/>
  </si>
  <si>
    <t>215 관서업무비</t>
    <phoneticPr fontId="4" type="noConversion"/>
  </si>
  <si>
    <t>731-3 지역사회 네트워킹</t>
    <phoneticPr fontId="4" type="noConversion"/>
  </si>
  <si>
    <t>731-1  청소년 참여와 활동</t>
    <phoneticPr fontId="4" type="noConversion"/>
  </si>
  <si>
    <t>217 재료비기타</t>
    <phoneticPr fontId="4" type="noConversion"/>
  </si>
  <si>
    <t>215 관서업무비</t>
    <phoneticPr fontId="4" type="noConversion"/>
  </si>
  <si>
    <t>212 보험료</t>
    <phoneticPr fontId="4" type="noConversion"/>
  </si>
  <si>
    <t>207 피복비</t>
    <phoneticPr fontId="4" type="noConversion"/>
  </si>
  <si>
    <t>202 여비</t>
    <phoneticPr fontId="4" type="noConversion"/>
  </si>
  <si>
    <t>722-1 청소년 참여와 활동</t>
    <phoneticPr fontId="4" type="noConversion"/>
  </si>
  <si>
    <t>721-1 국도시비보조금사업비</t>
    <phoneticPr fontId="4" type="noConversion"/>
  </si>
  <si>
    <t>401-1 시설비</t>
    <phoneticPr fontId="4" type="noConversion"/>
  </si>
  <si>
    <t>204 수도광열비</t>
    <phoneticPr fontId="4" type="noConversion"/>
  </si>
  <si>
    <t>201 복리후생비</t>
    <phoneticPr fontId="4" type="noConversion"/>
  </si>
  <si>
    <t>106 퇴직급여</t>
    <phoneticPr fontId="4" type="noConversion"/>
  </si>
  <si>
    <t>102 제수당</t>
    <phoneticPr fontId="4" type="noConversion"/>
  </si>
  <si>
    <t>101 급여</t>
    <phoneticPr fontId="4" type="noConversion"/>
  </si>
  <si>
    <t>106 퇴직급여</t>
    <phoneticPr fontId="4" type="noConversion"/>
  </si>
  <si>
    <t>203 공공요금 및 제세</t>
    <phoneticPr fontId="4" type="noConversion"/>
  </si>
  <si>
    <t>204 수도광열비</t>
    <phoneticPr fontId="4" type="noConversion"/>
  </si>
  <si>
    <t>405-1 자산취득비</t>
    <phoneticPr fontId="4" type="noConversion"/>
  </si>
  <si>
    <t>722-2 청소년 보호와 안전</t>
    <phoneticPr fontId="4" type="noConversion"/>
  </si>
  <si>
    <t>102 제수당</t>
    <phoneticPr fontId="4" type="noConversion"/>
  </si>
  <si>
    <t>202 여비</t>
    <phoneticPr fontId="4" type="noConversion"/>
  </si>
  <si>
    <t>206 소모품비</t>
    <phoneticPr fontId="4" type="noConversion"/>
  </si>
  <si>
    <t>209 지급임차료</t>
    <phoneticPr fontId="4" type="noConversion"/>
  </si>
  <si>
    <t>722-1 청소년참여와활동</t>
    <phoneticPr fontId="4" type="noConversion"/>
  </si>
  <si>
    <t>722-3 지역사회 네트워킹</t>
    <phoneticPr fontId="4" type="noConversion"/>
  </si>
  <si>
    <t>722-4 국제화사업</t>
    <phoneticPr fontId="4" type="noConversion"/>
  </si>
  <si>
    <t>201 복리후생비</t>
    <phoneticPr fontId="4" type="noConversion"/>
  </si>
  <si>
    <t>202 여비</t>
    <phoneticPr fontId="4" type="noConversion"/>
  </si>
  <si>
    <t>203 공공요금 및 제세</t>
    <phoneticPr fontId="4" type="noConversion"/>
  </si>
  <si>
    <t>214 업무추진비</t>
    <phoneticPr fontId="4" type="noConversion"/>
  </si>
  <si>
    <t>215 관서업무비</t>
    <phoneticPr fontId="4" type="noConversion"/>
  </si>
  <si>
    <t>731-1 청소년 참여와 활동</t>
    <phoneticPr fontId="4" type="noConversion"/>
  </si>
  <si>
    <t>775-4 기타영업외비용</t>
    <phoneticPr fontId="4" type="noConversion"/>
  </si>
  <si>
    <t>101 급여</t>
    <phoneticPr fontId="4" type="noConversion"/>
  </si>
  <si>
    <t>102 제수당</t>
    <phoneticPr fontId="4" type="noConversion"/>
  </si>
  <si>
    <t>204 수도광열비</t>
    <phoneticPr fontId="4" type="noConversion"/>
  </si>
  <si>
    <t>213 지급수수료</t>
    <phoneticPr fontId="4" type="noConversion"/>
  </si>
  <si>
    <t>202 여비</t>
    <phoneticPr fontId="4" type="noConversion"/>
  </si>
  <si>
    <t>215 관서업무비</t>
    <phoneticPr fontId="4" type="noConversion"/>
  </si>
  <si>
    <t>405-1 자산취득비</t>
    <phoneticPr fontId="4" type="noConversion"/>
  </si>
  <si>
    <t>732-1 청소년 참여와 활동</t>
    <phoneticPr fontId="4" type="noConversion"/>
  </si>
  <si>
    <t>732-2 청소년 보호와 안전</t>
    <phoneticPr fontId="4" type="noConversion"/>
  </si>
  <si>
    <t>732-3 지역사회 네트워킹</t>
    <phoneticPr fontId="4" type="noConversion"/>
  </si>
  <si>
    <t>732-4 경영시스템 구축</t>
    <phoneticPr fontId="4" type="noConversion"/>
  </si>
  <si>
    <t>732-5 식당사업비</t>
    <phoneticPr fontId="4" type="noConversion"/>
  </si>
  <si>
    <t>732-6 자판기사업비</t>
    <phoneticPr fontId="4" type="noConversion"/>
  </si>
  <si>
    <t>732-7 대관사업비</t>
    <phoneticPr fontId="4" type="noConversion"/>
  </si>
  <si>
    <t>101 급여</t>
    <phoneticPr fontId="4" type="noConversion"/>
  </si>
  <si>
    <t>102 제수당</t>
    <phoneticPr fontId="4" type="noConversion"/>
  </si>
  <si>
    <t>210 수선유지비</t>
    <phoneticPr fontId="4" type="noConversion"/>
  </si>
  <si>
    <t>721-1 국도시비보조금사업비</t>
    <phoneticPr fontId="4" type="noConversion"/>
  </si>
  <si>
    <t>722-2 청소년보호와 안전</t>
    <phoneticPr fontId="4" type="noConversion"/>
  </si>
  <si>
    <t>101 인건비</t>
    <phoneticPr fontId="4" type="noConversion"/>
  </si>
  <si>
    <t>775-4 기타영업외비용</t>
    <phoneticPr fontId="4" type="noConversion"/>
  </si>
  <si>
    <t>102 제수당</t>
    <phoneticPr fontId="4" type="noConversion"/>
  </si>
  <si>
    <t>209 지급임차료</t>
    <phoneticPr fontId="4" type="noConversion"/>
  </si>
  <si>
    <t>210 수선유지비</t>
    <phoneticPr fontId="4" type="noConversion"/>
  </si>
  <si>
    <t>212 보험료</t>
    <phoneticPr fontId="4" type="noConversion"/>
  </si>
  <si>
    <t>405-1 자산취득비</t>
    <phoneticPr fontId="4" type="noConversion"/>
  </si>
  <si>
    <t>722-1 청소년참여와 활동</t>
    <phoneticPr fontId="4" type="noConversion"/>
  </si>
  <si>
    <t>201 복리후생비</t>
    <phoneticPr fontId="4" type="noConversion"/>
  </si>
  <si>
    <t>732-1 청소년참여와 활동</t>
    <phoneticPr fontId="4" type="noConversion"/>
  </si>
  <si>
    <t>732-3 지역사회 네트워킹</t>
    <phoneticPr fontId="4" type="noConversion"/>
  </si>
  <si>
    <t>732-4 경영시스템 구축</t>
    <phoneticPr fontId="4" type="noConversion"/>
  </si>
  <si>
    <t>102 제수당</t>
    <phoneticPr fontId="4" type="noConversion"/>
  </si>
  <si>
    <t>203 공공요금 및 제세</t>
    <phoneticPr fontId="4" type="noConversion"/>
  </si>
  <si>
    <t>204 수도광열비</t>
    <phoneticPr fontId="4" type="noConversion"/>
  </si>
  <si>
    <t>216 교육훈련비</t>
    <phoneticPr fontId="4" type="noConversion"/>
  </si>
  <si>
    <t>218 행사홍보비</t>
    <phoneticPr fontId="4" type="noConversion"/>
  </si>
  <si>
    <t>220 회의운영비</t>
    <phoneticPr fontId="4" type="noConversion"/>
  </si>
  <si>
    <t>209 지급임차료</t>
    <phoneticPr fontId="4" type="noConversion"/>
  </si>
  <si>
    <t>401-1 시설비</t>
    <phoneticPr fontId="4" type="noConversion"/>
  </si>
  <si>
    <t>213 지급수수료</t>
    <phoneticPr fontId="4" type="noConversion"/>
  </si>
  <si>
    <t>710 영업비용</t>
    <phoneticPr fontId="4" type="noConversion"/>
  </si>
  <si>
    <t>730 자체사업비</t>
    <phoneticPr fontId="4" type="noConversion"/>
  </si>
  <si>
    <t>770 영업외비용</t>
    <phoneticPr fontId="4" type="noConversion"/>
  </si>
  <si>
    <t>720 청소년사업비</t>
    <phoneticPr fontId="4" type="noConversion"/>
  </si>
  <si>
    <t>730 자체사업비</t>
    <phoneticPr fontId="4" type="noConversion"/>
  </si>
  <si>
    <t>710 영업비용</t>
    <phoneticPr fontId="4" type="noConversion"/>
  </si>
  <si>
    <t>720 청소년사업비</t>
    <phoneticPr fontId="4" type="noConversion"/>
  </si>
  <si>
    <t>770 영업외비용</t>
    <phoneticPr fontId="4" type="noConversion"/>
  </si>
  <si>
    <t>710 영업비용</t>
    <phoneticPr fontId="4" type="noConversion"/>
  </si>
  <si>
    <t>730 자체사업비</t>
    <phoneticPr fontId="4" type="noConversion"/>
  </si>
  <si>
    <t>730 자체사업비</t>
    <phoneticPr fontId="4" type="noConversion"/>
  </si>
  <si>
    <t>170 자본잉여금수입</t>
    <phoneticPr fontId="4" type="noConversion"/>
  </si>
  <si>
    <t>620 영업외수익</t>
    <phoneticPr fontId="4" type="noConversion"/>
  </si>
  <si>
    <t>610 영업수익</t>
    <phoneticPr fontId="4" type="noConversion"/>
  </si>
  <si>
    <t>600 사업수익</t>
    <phoneticPr fontId="4" type="noConversion"/>
  </si>
  <si>
    <t>600 사업수익</t>
    <phoneticPr fontId="4" type="noConversion"/>
  </si>
  <si>
    <t>610 영업수익</t>
    <phoneticPr fontId="4" type="noConversion"/>
  </si>
  <si>
    <t>610 영업수익</t>
    <phoneticPr fontId="4" type="noConversion"/>
  </si>
  <si>
    <t>­ 사례교육프로그램 진행비</t>
    <phoneticPr fontId="4" type="noConversion"/>
  </si>
  <si>
    <t>­ 검사지 구입비</t>
    <phoneticPr fontId="4" type="noConversion"/>
  </si>
  <si>
    <t>­ 개인상담 강사비</t>
    <phoneticPr fontId="5" type="noConversion"/>
  </si>
  <si>
    <t>­ 개인상담 운영비(물품구입비)</t>
    <phoneticPr fontId="5" type="noConversion"/>
  </si>
  <si>
    <t>­ 개인상담 사례회의 식비</t>
    <phoneticPr fontId="5" type="noConversion"/>
  </si>
  <si>
    <t>­ 집단프로그램 운영비(물품구입비)</t>
    <phoneticPr fontId="4" type="noConversion"/>
  </si>
  <si>
    <t xml:space="preserve"> - 고3 수험생프로그램 운영비(물품구입 등)</t>
    <phoneticPr fontId="4" type="noConversion"/>
  </si>
  <si>
    <t xml:space="preserve"> - 청소년자원봉사 운영비(물품구입 등)</t>
    <phoneticPr fontId="4" type="noConversion"/>
  </si>
  <si>
    <t xml:space="preserve"> - 국제교류사업 운영비(물품구입 등)</t>
    <phoneticPr fontId="4" type="noConversion"/>
  </si>
  <si>
    <t>­ 업무지원자부담(시간외근무수당외)</t>
    <phoneticPr fontId="4" type="noConversion"/>
  </si>
  <si>
    <t xml:space="preserve"> - 미디어홍보사업 운영비(물품구입 등)</t>
    <phoneticPr fontId="4" type="noConversion"/>
  </si>
  <si>
    <t xml:space="preserve"> - 청소년지도사 실습생 식비(간식비 등)</t>
    <phoneticPr fontId="4" type="noConversion"/>
  </si>
  <si>
    <t xml:space="preserve"> - 수련관운영위원회 운영비(물품구입 등)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</si>
</sst>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,"/>
    <numFmt numFmtId="177" formatCode="0.0%"/>
    <numFmt numFmtId="178" formatCode="&quot;(&quot;###,###&quot;)&quot;"/>
    <numFmt numFmtId="179" formatCode="###&quot;년&quot;"/>
    <numFmt numFmtId="180" formatCode="###&quot;식&quot;"/>
    <numFmt numFmtId="181" formatCode="###&quot;명&quot;"/>
    <numFmt numFmtId="182" formatCode="###&quot;월&quot;"/>
    <numFmt numFmtId="183" formatCode="###&quot;시간&quot;"/>
    <numFmt numFmtId="184" formatCode="###&quot;일&quot;"/>
    <numFmt numFmtId="185" formatCode="\1&quot;/&quot;##&quot;월&quot;"/>
    <numFmt numFmtId="186" formatCode="0.000%"/>
    <numFmt numFmtId="187" formatCode="###&quot;회&quot;"/>
    <numFmt numFmtId="188" formatCode="###&quot;kwh&quot;"/>
    <numFmt numFmtId="189" formatCode="###&quot;부&quot;"/>
    <numFmt numFmtId="190" formatCode="###&quot;분기&quot;"/>
    <numFmt numFmtId="191" formatCode="###&quot;팀&quot;"/>
    <numFmt numFmtId="192" formatCode="#,##0&quot;식&quot;"/>
    <numFmt numFmtId="193" formatCode="###&quot;개&quot;"/>
    <numFmt numFmtId="194" formatCode="###&quot;반&quot;"/>
    <numFmt numFmtId="195" formatCode="\(#,##0\)"/>
    <numFmt numFmtId="196" formatCode="###&quot;대&quot;"/>
    <numFmt numFmtId="197" formatCode="#,##0&quot;회&quot;"/>
    <numFmt numFmtId="198" formatCode="#,##0_);\(#,##0\)"/>
    <numFmt numFmtId="199" formatCode="#,##0&quot;명&quot;"/>
    <numFmt numFmtId="200" formatCode="#,##0&quot;대&quot;"/>
    <numFmt numFmtId="201" formatCode="#,##0&quot;월&quot;"/>
    <numFmt numFmtId="202" formatCode="0_);[Red]\(0\)"/>
    <numFmt numFmtId="203" formatCode="###&quot;학기&quot;"/>
    <numFmt numFmtId="204" formatCode="###&quot;주&quot;"/>
    <numFmt numFmtId="205" formatCode="###&quot;개월&quot;"/>
    <numFmt numFmtId="206" formatCode="#,##0_ "/>
    <numFmt numFmtId="207" formatCode="0.0000_);[Red]\(0.0000\)"/>
    <numFmt numFmtId="208" formatCode="#,##0;[Red]#,##0"/>
    <numFmt numFmtId="209" formatCode="#,##0&quot;회기&quot;"/>
    <numFmt numFmtId="210" formatCode="#,##0_);[Red]\(#,##0\)"/>
    <numFmt numFmtId="211" formatCode="_-* #,##0_-;\-* #,##0_-;_-* &quot;-&quot;??_-;_-@_-"/>
    <numFmt numFmtId="212" formatCode="##&quot;.&quot;"/>
    <numFmt numFmtId="213" formatCode="###&quot;개교&quot;"/>
    <numFmt numFmtId="214" formatCode="\(###,000\)"/>
    <numFmt numFmtId="215" formatCode="###&quot;p&quot;"/>
    <numFmt numFmtId="216" formatCode="#,###&quot;개&quot;"/>
    <numFmt numFmtId="217" formatCode="&quot;&quot;###,###&quot;&quot;"/>
    <numFmt numFmtId="218" formatCode="#,##0&quot;년&quot;"/>
    <numFmt numFmtId="219" formatCode="#,###\'"/>
    <numFmt numFmtId="220" formatCode="General&quot;월&quot;"/>
    <numFmt numFmtId="221" formatCode="General&quot;회&quot;"/>
    <numFmt numFmtId="222" formatCode="General&quot;명&quot;"/>
    <numFmt numFmtId="223" formatCode="General&quot;개월&quot;"/>
    <numFmt numFmtId="224" formatCode="#,##0,;[Red]\△#,##0,"/>
    <numFmt numFmtId="225" formatCode="###&quot;개실&quot;"/>
    <numFmt numFmtId="226" formatCode="#,##0%;[Red]\△#,##0%"/>
    <numFmt numFmtId="227" formatCode="#,##0.0%;[Red]\△#,##0.0%"/>
    <numFmt numFmtId="228" formatCode="#,###,,"/>
  </numFmts>
  <fonts count="10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9"/>
      <color rgb="FF000000"/>
      <name val="돋움"/>
      <family val="3"/>
      <charset val="129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맑은 고딕"/>
      <family val="3"/>
      <charset val="129"/>
    </font>
    <font>
      <shadow/>
      <sz val="42"/>
      <color rgb="FF000000"/>
      <name val="HY헤드라인M"/>
      <family val="1"/>
      <charset val="129"/>
    </font>
    <font>
      <sz val="11"/>
      <color indexed="8"/>
      <name val="돋움"/>
      <family val="3"/>
      <charset val="129"/>
    </font>
    <font>
      <b/>
      <sz val="22"/>
      <color indexed="8"/>
      <name val="HY견고딕"/>
      <family val="1"/>
      <charset val="129"/>
    </font>
    <font>
      <b/>
      <sz val="2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22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u/>
      <sz val="10.25"/>
      <color theme="10"/>
      <name val="맑은 고딕"/>
      <family val="3"/>
      <charset val="129"/>
    </font>
    <font>
      <u/>
      <sz val="10.25"/>
      <color theme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16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name val="함초롬돋움"/>
      <family val="1"/>
      <charset val="129"/>
    </font>
    <font>
      <sz val="48"/>
      <color theme="1"/>
      <name val="맑은 고딕"/>
      <family val="2"/>
      <charset val="129"/>
      <scheme val="minor"/>
    </font>
    <font>
      <sz val="26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6100"/>
      <name val="맑은 고딕"/>
      <family val="2"/>
      <charset val="129"/>
      <scheme val="minor"/>
    </font>
    <font>
      <b/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rgb="FF9C0006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3"/>
      <color rgb="FFFF0000"/>
      <name val="휴먼명조"/>
      <charset val="129"/>
    </font>
    <font>
      <b/>
      <sz val="11"/>
      <color theme="0"/>
      <name val="맑은 고딕"/>
      <family val="2"/>
      <charset val="129"/>
      <scheme val="minor"/>
    </font>
    <font>
      <shadow/>
      <sz val="72"/>
      <color rgb="FF000000"/>
      <name val="HY헤드라인M"/>
      <family val="1"/>
      <charset val="129"/>
    </font>
    <font>
      <sz val="14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4.5"/>
      <color theme="1"/>
      <name val="맑은 고딕"/>
      <family val="2"/>
      <charset val="129"/>
      <scheme val="minor"/>
    </font>
    <font>
      <sz val="14.5"/>
      <color theme="1"/>
      <name val="맑은 고딕"/>
      <family val="3"/>
      <charset val="129"/>
      <scheme val="minor"/>
    </font>
    <font>
      <sz val="14.5"/>
      <name val="맑은 고딕"/>
      <family val="3"/>
      <charset val="129"/>
      <scheme val="minor"/>
    </font>
    <font>
      <sz val="14.5"/>
      <color theme="1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2"/>
      <color theme="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FFFFFF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rgb="FFFFFFFF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ajor"/>
    </font>
    <font>
      <sz val="22"/>
      <color indexed="8"/>
      <name val="맑은 고딕"/>
      <family val="3"/>
      <charset val="129"/>
      <scheme val="major"/>
    </font>
    <font>
      <b/>
      <sz val="12"/>
      <color indexed="8"/>
      <name val="돋움"/>
      <family val="3"/>
      <charset val="129"/>
    </font>
    <font>
      <b/>
      <sz val="36"/>
      <color indexed="8"/>
      <name val="HY견고딕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/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indexed="64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41" fontId="14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/>
    <xf numFmtId="0" fontId="26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30" fillId="0" borderId="0"/>
    <xf numFmtId="9" fontId="2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58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09">
    <xf numFmtId="0" fontId="0" fillId="0" borderId="0" xfId="0">
      <alignment vertical="center"/>
    </xf>
    <xf numFmtId="0" fontId="6" fillId="0" borderId="0" xfId="3" applyNumberFormat="1" applyFont="1">
      <alignment vertical="center"/>
    </xf>
    <xf numFmtId="0" fontId="7" fillId="0" borderId="0" xfId="3" applyNumberFormat="1" applyFont="1" applyFill="1">
      <alignment vertical="center"/>
    </xf>
    <xf numFmtId="0" fontId="7" fillId="0" borderId="0" xfId="3" applyNumberFormat="1" applyFont="1">
      <alignment vertical="center"/>
    </xf>
    <xf numFmtId="41" fontId="7" fillId="0" borderId="0" xfId="4" applyNumberFormat="1" applyFont="1">
      <alignment vertical="center"/>
    </xf>
    <xf numFmtId="0" fontId="7" fillId="0" borderId="0" xfId="3" applyNumberFormat="1" applyFont="1" applyAlignment="1">
      <alignment horizontal="center" vertical="center"/>
    </xf>
    <xf numFmtId="176" fontId="7" fillId="0" borderId="0" xfId="4" applyNumberFormat="1" applyFont="1" applyAlignment="1">
      <alignment horizontal="right" vertical="center"/>
    </xf>
    <xf numFmtId="41" fontId="7" fillId="0" borderId="0" xfId="4" applyNumberFormat="1" applyFont="1" applyAlignment="1">
      <alignment horizontal="right" vertical="center"/>
    </xf>
    <xf numFmtId="0" fontId="6" fillId="0" borderId="0" xfId="3" applyNumberFormat="1" applyFont="1" applyAlignment="1">
      <alignment horizontal="center" vertical="center"/>
    </xf>
    <xf numFmtId="41" fontId="6" fillId="0" borderId="0" xfId="3" applyNumberFormat="1" applyFont="1">
      <alignment vertical="center"/>
    </xf>
    <xf numFmtId="41" fontId="7" fillId="0" borderId="0" xfId="3" applyNumberFormat="1" applyFont="1">
      <alignment vertical="center"/>
    </xf>
    <xf numFmtId="3" fontId="7" fillId="0" borderId="0" xfId="3" applyNumberFormat="1" applyFont="1">
      <alignment vertical="center"/>
    </xf>
    <xf numFmtId="41" fontId="10" fillId="0" borderId="0" xfId="4" applyFont="1">
      <alignment vertical="center"/>
    </xf>
    <xf numFmtId="0" fontId="9" fillId="0" borderId="0" xfId="0" applyFont="1">
      <alignment vertical="center"/>
    </xf>
    <xf numFmtId="0" fontId="8" fillId="0" borderId="0" xfId="0" applyFont="1">
      <alignment vertical="center"/>
    </xf>
    <xf numFmtId="0" fontId="15" fillId="0" borderId="0" xfId="0" applyFont="1" applyFill="1">
      <alignment vertical="center"/>
    </xf>
    <xf numFmtId="0" fontId="15" fillId="0" borderId="0" xfId="0" applyFont="1">
      <alignment vertical="center"/>
    </xf>
    <xf numFmtId="41" fontId="15" fillId="0" borderId="0" xfId="1" applyFont="1">
      <alignment vertical="center"/>
    </xf>
    <xf numFmtId="0" fontId="15" fillId="0" borderId="0" xfId="0" applyFont="1" applyAlignment="1">
      <alignment horizontal="center" vertical="center"/>
    </xf>
    <xf numFmtId="176" fontId="15" fillId="0" borderId="0" xfId="1" applyNumberFormat="1" applyFont="1" applyAlignment="1">
      <alignment horizontal="right" vertical="center"/>
    </xf>
    <xf numFmtId="41" fontId="15" fillId="0" borderId="0" xfId="1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>
      <alignment vertical="center"/>
    </xf>
    <xf numFmtId="0" fontId="15" fillId="0" borderId="19" xfId="0" applyFont="1" applyBorder="1">
      <alignment vertical="center"/>
    </xf>
    <xf numFmtId="0" fontId="15" fillId="0" borderId="24" xfId="0" applyFont="1" applyFill="1" applyBorder="1">
      <alignment vertical="center"/>
    </xf>
    <xf numFmtId="0" fontId="15" fillId="0" borderId="0" xfId="0" applyFont="1" applyFill="1" applyBorder="1">
      <alignment vertical="center"/>
    </xf>
    <xf numFmtId="0" fontId="15" fillId="0" borderId="0" xfId="0" applyFont="1" applyBorder="1">
      <alignment vertical="center"/>
    </xf>
    <xf numFmtId="41" fontId="15" fillId="0" borderId="0" xfId="1" applyFont="1" applyBorder="1">
      <alignment vertical="center"/>
    </xf>
    <xf numFmtId="0" fontId="15" fillId="0" borderId="0" xfId="0" applyFont="1" applyBorder="1" applyAlignment="1">
      <alignment horizontal="center" vertical="center"/>
    </xf>
    <xf numFmtId="195" fontId="15" fillId="0" borderId="0" xfId="1" applyNumberFormat="1" applyFont="1" applyBorder="1">
      <alignment vertical="center"/>
    </xf>
    <xf numFmtId="176" fontId="15" fillId="0" borderId="24" xfId="1" applyNumberFormat="1" applyFont="1" applyBorder="1" applyAlignment="1">
      <alignment horizontal="right" vertical="center"/>
    </xf>
    <xf numFmtId="41" fontId="15" fillId="0" borderId="24" xfId="1" applyFont="1" applyBorder="1" applyAlignment="1">
      <alignment horizontal="right" vertical="center"/>
    </xf>
    <xf numFmtId="0" fontId="15" fillId="0" borderId="30" xfId="0" applyFont="1" applyBorder="1" applyAlignment="1">
      <alignment horizontal="right" vertical="center"/>
    </xf>
    <xf numFmtId="176" fontId="15" fillId="0" borderId="0" xfId="0" applyNumberFormat="1" applyFont="1">
      <alignment vertical="center"/>
    </xf>
    <xf numFmtId="41" fontId="21" fillId="0" borderId="0" xfId="7" applyFont="1" applyBorder="1" applyAlignment="1">
      <alignment horizontal="center" vertical="center"/>
    </xf>
    <xf numFmtId="0" fontId="15" fillId="0" borderId="32" xfId="0" applyFont="1" applyBorder="1">
      <alignment vertical="center"/>
    </xf>
    <xf numFmtId="0" fontId="15" fillId="0" borderId="12" xfId="0" applyFont="1" applyFill="1" applyBorder="1">
      <alignment vertical="center"/>
    </xf>
    <xf numFmtId="0" fontId="15" fillId="0" borderId="10" xfId="0" applyFont="1" applyFill="1" applyBorder="1">
      <alignment vertical="center"/>
    </xf>
    <xf numFmtId="0" fontId="15" fillId="0" borderId="10" xfId="0" applyFont="1" applyBorder="1" applyAlignment="1">
      <alignment horizontal="left" vertical="center" wrapText="1" indent="1"/>
    </xf>
    <xf numFmtId="41" fontId="15" fillId="0" borderId="10" xfId="1" applyFont="1" applyBorder="1" applyAlignment="1">
      <alignment vertical="center" wrapText="1"/>
    </xf>
    <xf numFmtId="0" fontId="15" fillId="0" borderId="10" xfId="0" applyFont="1" applyBorder="1">
      <alignment vertical="center"/>
    </xf>
    <xf numFmtId="179" fontId="15" fillId="0" borderId="10" xfId="0" applyNumberFormat="1" applyFont="1" applyBorder="1">
      <alignment vertical="center"/>
    </xf>
    <xf numFmtId="182" fontId="15" fillId="0" borderId="10" xfId="0" applyNumberFormat="1" applyFont="1" applyBorder="1">
      <alignment vertical="center"/>
    </xf>
    <xf numFmtId="0" fontId="15" fillId="0" borderId="10" xfId="0" applyFont="1" applyBorder="1" applyAlignment="1">
      <alignment horizontal="center" vertical="center"/>
    </xf>
    <xf numFmtId="41" fontId="15" fillId="0" borderId="10" xfId="1" applyFont="1" applyBorder="1">
      <alignment vertical="center"/>
    </xf>
    <xf numFmtId="176" fontId="15" fillId="0" borderId="12" xfId="1" applyNumberFormat="1" applyFont="1" applyBorder="1" applyAlignment="1">
      <alignment horizontal="right" vertical="center"/>
    </xf>
    <xf numFmtId="41" fontId="15" fillId="0" borderId="12" xfId="1" applyFont="1" applyBorder="1" applyAlignment="1">
      <alignment horizontal="right" vertical="center"/>
    </xf>
    <xf numFmtId="0" fontId="15" fillId="0" borderId="13" xfId="0" applyFont="1" applyBorder="1" applyAlignment="1">
      <alignment horizontal="right" vertical="center"/>
    </xf>
    <xf numFmtId="41" fontId="9" fillId="0" borderId="0" xfId="0" applyNumberFormat="1" applyFont="1">
      <alignment vertical="center"/>
    </xf>
    <xf numFmtId="0" fontId="16" fillId="0" borderId="0" xfId="0" applyFont="1">
      <alignment vertical="center"/>
    </xf>
    <xf numFmtId="0" fontId="9" fillId="0" borderId="0" xfId="0" applyFont="1" applyFill="1">
      <alignment vertical="center"/>
    </xf>
    <xf numFmtId="41" fontId="9" fillId="0" borderId="0" xfId="1" applyFont="1">
      <alignment vertical="center"/>
    </xf>
    <xf numFmtId="0" fontId="9" fillId="0" borderId="0" xfId="0" applyFont="1" applyAlignment="1">
      <alignment horizontal="center" vertical="center"/>
    </xf>
    <xf numFmtId="176" fontId="9" fillId="0" borderId="0" xfId="1" applyNumberFormat="1" applyFont="1" applyAlignment="1">
      <alignment horizontal="right" vertical="center"/>
    </xf>
    <xf numFmtId="41" fontId="9" fillId="0" borderId="0" xfId="1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>
      <alignment vertical="center"/>
    </xf>
    <xf numFmtId="3" fontId="6" fillId="0" borderId="0" xfId="0" applyNumberFormat="1" applyFont="1" applyAlignment="1">
      <alignment horizontal="right" vertical="center"/>
    </xf>
    <xf numFmtId="3" fontId="9" fillId="0" borderId="0" xfId="0" applyNumberFormat="1" applyFont="1">
      <alignment vertical="center"/>
    </xf>
    <xf numFmtId="0" fontId="9" fillId="0" borderId="0" xfId="0" applyFont="1" applyAlignment="1">
      <alignment horizontal="right" vertical="center"/>
    </xf>
    <xf numFmtId="176" fontId="9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19" fillId="0" borderId="0" xfId="8" applyFont="1"/>
    <xf numFmtId="0" fontId="32" fillId="0" borderId="0" xfId="0" applyFont="1">
      <alignment vertical="center"/>
    </xf>
    <xf numFmtId="41" fontId="32" fillId="0" borderId="0" xfId="1" applyFo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41" fontId="27" fillId="0" borderId="0" xfId="1" applyFont="1">
      <alignment vertical="center"/>
    </xf>
    <xf numFmtId="0" fontId="34" fillId="6" borderId="63" xfId="1" applyNumberFormat="1" applyFont="1" applyFill="1" applyBorder="1" applyAlignment="1">
      <alignment horizontal="distributed" vertical="center" indent="1"/>
    </xf>
    <xf numFmtId="176" fontId="34" fillId="6" borderId="64" xfId="1" applyNumberFormat="1" applyFont="1" applyFill="1" applyBorder="1" applyAlignment="1">
      <alignment horizontal="right" vertical="center"/>
    </xf>
    <xf numFmtId="177" fontId="34" fillId="6" borderId="64" xfId="1" applyNumberFormat="1" applyFont="1" applyFill="1" applyBorder="1" applyAlignment="1">
      <alignment horizontal="center" vertical="center"/>
    </xf>
    <xf numFmtId="41" fontId="27" fillId="0" borderId="0" xfId="1" applyFont="1" applyAlignment="1">
      <alignment horizontal="center" vertical="center"/>
    </xf>
    <xf numFmtId="41" fontId="27" fillId="0" borderId="0" xfId="0" applyNumberFormat="1" applyFont="1">
      <alignment vertical="center"/>
    </xf>
    <xf numFmtId="0" fontId="35" fillId="0" borderId="0" xfId="15" applyFont="1" applyAlignment="1">
      <alignment horizontal="center" vertical="center"/>
    </xf>
    <xf numFmtId="0" fontId="36" fillId="0" borderId="0" xfId="15" applyFont="1" applyBorder="1" applyAlignment="1">
      <alignment horizontal="center" vertical="center"/>
    </xf>
    <xf numFmtId="0" fontId="36" fillId="0" borderId="0" xfId="15" applyFont="1" applyAlignment="1">
      <alignment horizontal="center" vertical="center"/>
    </xf>
    <xf numFmtId="41" fontId="38" fillId="0" borderId="0" xfId="18" applyFont="1" applyBorder="1" applyAlignment="1">
      <alignment horizontal="right" vertical="center"/>
    </xf>
    <xf numFmtId="41" fontId="39" fillId="0" borderId="0" xfId="7" applyFont="1" applyBorder="1" applyAlignment="1">
      <alignment horizontal="center" vertical="center"/>
    </xf>
    <xf numFmtId="0" fontId="38" fillId="0" borderId="0" xfId="15" applyFont="1" applyFill="1" applyBorder="1" applyAlignment="1">
      <alignment horizontal="center" vertical="center"/>
    </xf>
    <xf numFmtId="0" fontId="40" fillId="0" borderId="0" xfId="15" applyFont="1" applyBorder="1" applyAlignment="1">
      <alignment horizontal="center" vertical="center"/>
    </xf>
    <xf numFmtId="0" fontId="40" fillId="0" borderId="0" xfId="15" applyFont="1" applyAlignment="1">
      <alignment horizontal="center" vertical="center"/>
    </xf>
    <xf numFmtId="177" fontId="15" fillId="0" borderId="0" xfId="17" applyNumberFormat="1" applyFont="1" applyFill="1" applyBorder="1" applyAlignment="1">
      <alignment horizontal="center" vertical="center"/>
    </xf>
    <xf numFmtId="176" fontId="40" fillId="0" borderId="0" xfId="15" applyNumberFormat="1" applyFont="1" applyBorder="1" applyAlignment="1">
      <alignment horizontal="left" vertical="center"/>
    </xf>
    <xf numFmtId="0" fontId="38" fillId="0" borderId="0" xfId="15" applyFont="1" applyBorder="1" applyAlignment="1">
      <alignment horizontal="center" vertical="center"/>
    </xf>
    <xf numFmtId="0" fontId="38" fillId="0" borderId="0" xfId="15" applyFont="1" applyAlignment="1">
      <alignment horizontal="center" vertical="center"/>
    </xf>
    <xf numFmtId="176" fontId="40" fillId="0" borderId="0" xfId="15" applyNumberFormat="1" applyFont="1" applyBorder="1" applyAlignment="1">
      <alignment horizontal="center" vertical="center"/>
    </xf>
    <xf numFmtId="177" fontId="8" fillId="0" borderId="0" xfId="17" applyNumberFormat="1" applyFont="1" applyFill="1" applyBorder="1" applyAlignment="1">
      <alignment horizontal="center" vertical="center"/>
    </xf>
    <xf numFmtId="177" fontId="40" fillId="0" borderId="0" xfId="17" applyNumberFormat="1" applyFont="1" applyFill="1" applyBorder="1" applyAlignment="1">
      <alignment horizontal="center" vertical="center"/>
    </xf>
    <xf numFmtId="177" fontId="38" fillId="0" borderId="0" xfId="16" applyNumberFormat="1" applyFont="1" applyFill="1" applyBorder="1" applyAlignment="1">
      <alignment horizontal="center" vertical="center"/>
    </xf>
    <xf numFmtId="177" fontId="38" fillId="0" borderId="0" xfId="17" applyNumberFormat="1" applyFont="1" applyFill="1" applyBorder="1" applyAlignment="1">
      <alignment horizontal="center" vertical="center"/>
    </xf>
    <xf numFmtId="0" fontId="19" fillId="0" borderId="0" xfId="8" applyFont="1" applyFill="1"/>
    <xf numFmtId="41" fontId="19" fillId="0" borderId="0" xfId="7" applyFont="1" applyFill="1" applyAlignment="1"/>
    <xf numFmtId="41" fontId="19" fillId="0" borderId="0" xfId="7" applyFont="1" applyAlignment="1"/>
    <xf numFmtId="0" fontId="36" fillId="0" borderId="0" xfId="15" applyFont="1" applyAlignment="1">
      <alignment vertical="center"/>
    </xf>
    <xf numFmtId="0" fontId="19" fillId="0" borderId="0" xfId="8" applyFont="1" applyFill="1" applyAlignment="1">
      <alignment horizontal="right"/>
    </xf>
    <xf numFmtId="177" fontId="19" fillId="0" borderId="0" xfId="8" applyNumberFormat="1" applyFont="1" applyFill="1" applyAlignment="1">
      <alignment horizontal="right"/>
    </xf>
    <xf numFmtId="177" fontId="19" fillId="0" borderId="0" xfId="8" applyNumberFormat="1" applyFont="1" applyFill="1"/>
    <xf numFmtId="0" fontId="42" fillId="0" borderId="0" xfId="19" applyFont="1" applyFill="1" applyAlignment="1" applyProtection="1">
      <alignment horizontal="right"/>
    </xf>
    <xf numFmtId="0" fontId="19" fillId="0" borderId="0" xfId="8" applyFont="1" applyAlignment="1">
      <alignment horizontal="right"/>
    </xf>
    <xf numFmtId="177" fontId="19" fillId="0" borderId="0" xfId="8" applyNumberFormat="1" applyFont="1" applyAlignment="1">
      <alignment horizontal="right"/>
    </xf>
    <xf numFmtId="41" fontId="38" fillId="0" borderId="0" xfId="18" applyFont="1" applyBorder="1" applyAlignment="1">
      <alignment horizontal="center" vertical="center"/>
    </xf>
    <xf numFmtId="0" fontId="43" fillId="0" borderId="0" xfId="15" applyFont="1" applyBorder="1" applyAlignment="1">
      <alignment horizontal="center" vertical="center"/>
    </xf>
    <xf numFmtId="41" fontId="30" fillId="0" borderId="0" xfId="7" applyFont="1" applyBorder="1" applyAlignment="1">
      <alignment horizontal="center" vertical="center"/>
    </xf>
    <xf numFmtId="0" fontId="30" fillId="0" borderId="0" xfId="15" applyFont="1" applyBorder="1" applyAlignment="1">
      <alignment horizontal="center" vertical="center"/>
    </xf>
    <xf numFmtId="0" fontId="30" fillId="0" borderId="0" xfId="15" applyFont="1" applyAlignment="1">
      <alignment horizontal="center" vertical="center"/>
    </xf>
    <xf numFmtId="41" fontId="30" fillId="0" borderId="0" xfId="18" applyFont="1" applyAlignment="1">
      <alignment horizontal="right" vertical="center"/>
    </xf>
    <xf numFmtId="41" fontId="30" fillId="0" borderId="0" xfId="18" applyFont="1" applyAlignment="1">
      <alignment horizontal="center" vertical="center"/>
    </xf>
    <xf numFmtId="0" fontId="30" fillId="0" borderId="0" xfId="15" applyFont="1" applyBorder="1" applyAlignment="1">
      <alignment horizontal="right" vertical="center"/>
    </xf>
    <xf numFmtId="41" fontId="45" fillId="0" borderId="0" xfId="7" applyFont="1" applyBorder="1" applyAlignment="1">
      <alignment vertical="center"/>
    </xf>
    <xf numFmtId="41" fontId="43" fillId="0" borderId="0" xfId="7" applyFont="1" applyBorder="1" applyAlignment="1">
      <alignment horizontal="center" vertical="center"/>
    </xf>
    <xf numFmtId="0" fontId="43" fillId="0" borderId="0" xfId="15" applyFont="1" applyAlignment="1">
      <alignment horizontal="center" vertical="center"/>
    </xf>
    <xf numFmtId="0" fontId="21" fillId="0" borderId="0" xfId="15" applyFont="1" applyBorder="1" applyAlignment="1">
      <alignment horizontal="center" vertical="center"/>
    </xf>
    <xf numFmtId="0" fontId="21" fillId="0" borderId="0" xfId="15" applyFont="1" applyAlignment="1">
      <alignment horizontal="center" vertical="center"/>
    </xf>
    <xf numFmtId="41" fontId="46" fillId="0" borderId="0" xfId="7" applyFont="1" applyFill="1" applyAlignment="1"/>
    <xf numFmtId="0" fontId="46" fillId="0" borderId="0" xfId="8" applyFont="1" applyFill="1" applyAlignment="1">
      <alignment horizontal="right"/>
    </xf>
    <xf numFmtId="0" fontId="46" fillId="0" borderId="0" xfId="8" applyFont="1" applyFill="1" applyAlignment="1"/>
    <xf numFmtId="0" fontId="46" fillId="0" borderId="0" xfId="8" applyFont="1" applyFill="1"/>
    <xf numFmtId="0" fontId="41" fillId="0" borderId="0" xfId="19" applyFill="1" applyAlignment="1" applyProtection="1">
      <alignment horizontal="right"/>
    </xf>
    <xf numFmtId="177" fontId="46" fillId="0" borderId="0" xfId="8" applyNumberFormat="1" applyFont="1" applyFill="1" applyAlignment="1">
      <alignment horizontal="right"/>
    </xf>
    <xf numFmtId="176" fontId="46" fillId="0" borderId="0" xfId="8" applyNumberFormat="1" applyFont="1" applyFill="1" applyAlignment="1">
      <alignment horizontal="right"/>
    </xf>
    <xf numFmtId="41" fontId="46" fillId="0" borderId="0" xfId="8" applyNumberFormat="1" applyFont="1" applyFill="1" applyAlignment="1">
      <alignment horizontal="right"/>
    </xf>
    <xf numFmtId="41" fontId="46" fillId="0" borderId="0" xfId="7" applyFont="1" applyFill="1" applyAlignment="1">
      <alignment horizontal="right"/>
    </xf>
    <xf numFmtId="41" fontId="46" fillId="0" borderId="0" xfId="7" applyFont="1" applyAlignment="1"/>
    <xf numFmtId="0" fontId="46" fillId="0" borderId="0" xfId="8" applyFont="1" applyAlignment="1">
      <alignment horizontal="right"/>
    </xf>
    <xf numFmtId="0" fontId="46" fillId="0" borderId="0" xfId="8" applyFont="1" applyAlignment="1"/>
    <xf numFmtId="0" fontId="46" fillId="0" borderId="0" xfId="8" applyFont="1"/>
    <xf numFmtId="177" fontId="46" fillId="0" borderId="0" xfId="8" applyNumberFormat="1" applyFont="1" applyAlignment="1">
      <alignment horizontal="right"/>
    </xf>
    <xf numFmtId="0" fontId="47" fillId="0" borderId="0" xfId="0" applyFont="1">
      <alignment vertical="center"/>
    </xf>
    <xf numFmtId="0" fontId="33" fillId="0" borderId="0" xfId="0" applyFont="1">
      <alignment vertical="center"/>
    </xf>
    <xf numFmtId="0" fontId="50" fillId="0" borderId="0" xfId="0" applyFont="1">
      <alignment vertical="center"/>
    </xf>
    <xf numFmtId="0" fontId="27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26" fillId="0" borderId="0" xfId="0" applyFont="1">
      <alignment vertical="center"/>
    </xf>
    <xf numFmtId="0" fontId="40" fillId="0" borderId="0" xfId="15" applyFont="1" applyBorder="1" applyAlignment="1">
      <alignment horizontal="left" vertical="center"/>
    </xf>
    <xf numFmtId="41" fontId="51" fillId="0" borderId="0" xfId="7" applyFont="1" applyBorder="1" applyAlignment="1">
      <alignment horizontal="center" vertical="center"/>
    </xf>
    <xf numFmtId="0" fontId="51" fillId="0" borderId="0" xfId="15" applyFont="1" applyBorder="1" applyAlignment="1">
      <alignment horizontal="center" vertical="center"/>
    </xf>
    <xf numFmtId="0" fontId="51" fillId="0" borderId="0" xfId="15" applyFont="1" applyAlignment="1">
      <alignment horizontal="center" vertical="center"/>
    </xf>
    <xf numFmtId="41" fontId="51" fillId="0" borderId="0" xfId="18" applyFont="1" applyAlignment="1">
      <alignment horizontal="right" vertical="center"/>
    </xf>
    <xf numFmtId="41" fontId="51" fillId="0" borderId="0" xfId="18" applyFont="1" applyAlignment="1">
      <alignment horizontal="center" vertical="center"/>
    </xf>
    <xf numFmtId="176" fontId="51" fillId="0" borderId="0" xfId="15" applyNumberFormat="1" applyFont="1" applyBorder="1" applyAlignment="1">
      <alignment horizontal="right" vertical="center"/>
    </xf>
    <xf numFmtId="41" fontId="53" fillId="0" borderId="0" xfId="7" applyFont="1" applyBorder="1" applyAlignment="1">
      <alignment vertical="center"/>
    </xf>
    <xf numFmtId="41" fontId="56" fillId="0" borderId="0" xfId="7" applyFont="1" applyBorder="1" applyAlignment="1">
      <alignment horizontal="center" vertical="center"/>
    </xf>
    <xf numFmtId="0" fontId="56" fillId="0" borderId="0" xfId="15" applyFont="1" applyBorder="1" applyAlignment="1">
      <alignment horizontal="center" vertical="center"/>
    </xf>
    <xf numFmtId="0" fontId="56" fillId="0" borderId="0" xfId="15" applyFont="1" applyAlignment="1">
      <alignment horizontal="center" vertical="center"/>
    </xf>
    <xf numFmtId="41" fontId="54" fillId="0" borderId="0" xfId="7" applyFont="1" applyBorder="1" applyAlignment="1">
      <alignment horizontal="center" vertical="center"/>
    </xf>
    <xf numFmtId="0" fontId="54" fillId="0" borderId="0" xfId="15" applyFont="1" applyBorder="1" applyAlignment="1">
      <alignment horizontal="center" vertical="center"/>
    </xf>
    <xf numFmtId="0" fontId="54" fillId="0" borderId="0" xfId="15" applyFont="1" applyAlignment="1">
      <alignment horizontal="center" vertical="center"/>
    </xf>
    <xf numFmtId="41" fontId="57" fillId="0" borderId="0" xfId="7" applyFont="1" applyFill="1" applyAlignment="1"/>
    <xf numFmtId="0" fontId="57" fillId="0" borderId="0" xfId="8" applyFont="1" applyFill="1" applyAlignment="1">
      <alignment horizontal="right"/>
    </xf>
    <xf numFmtId="0" fontId="57" fillId="0" borderId="0" xfId="8" applyFont="1" applyFill="1" applyAlignment="1"/>
    <xf numFmtId="0" fontId="57" fillId="0" borderId="0" xfId="8" applyFont="1" applyFill="1"/>
    <xf numFmtId="176" fontId="57" fillId="0" borderId="0" xfId="8" applyNumberFormat="1" applyFont="1" applyFill="1" applyAlignment="1">
      <alignment horizontal="right"/>
    </xf>
    <xf numFmtId="41" fontId="57" fillId="0" borderId="0" xfId="7" applyFont="1" applyAlignment="1"/>
    <xf numFmtId="0" fontId="57" fillId="0" borderId="0" xfId="8" applyFont="1" applyAlignment="1">
      <alignment horizontal="right"/>
    </xf>
    <xf numFmtId="0" fontId="57" fillId="0" borderId="0" xfId="8" applyFont="1" applyAlignment="1"/>
    <xf numFmtId="0" fontId="57" fillId="0" borderId="0" xfId="8" applyFont="1"/>
    <xf numFmtId="176" fontId="57" fillId="0" borderId="0" xfId="8" applyNumberFormat="1" applyFont="1" applyAlignment="1">
      <alignment horizontal="right"/>
    </xf>
    <xf numFmtId="41" fontId="27" fillId="0" borderId="0" xfId="0" applyNumberFormat="1" applyFont="1" applyAlignment="1">
      <alignment horizontal="center" vertical="center"/>
    </xf>
    <xf numFmtId="0" fontId="59" fillId="19" borderId="0" xfId="21" applyFont="1">
      <alignment vertical="center"/>
    </xf>
    <xf numFmtId="0" fontId="62" fillId="20" borderId="0" xfId="22" applyFont="1">
      <alignment vertical="center"/>
    </xf>
    <xf numFmtId="176" fontId="62" fillId="20" borderId="0" xfId="22" applyNumberFormat="1" applyFont="1">
      <alignment vertical="center"/>
    </xf>
    <xf numFmtId="3" fontId="40" fillId="0" borderId="0" xfId="15" applyNumberFormat="1" applyFont="1" applyBorder="1" applyAlignment="1">
      <alignment horizontal="center" vertical="center"/>
    </xf>
    <xf numFmtId="176" fontId="40" fillId="0" borderId="0" xfId="1" applyNumberFormat="1" applyFont="1" applyBorder="1" applyAlignment="1">
      <alignment horizontal="center" vertical="center"/>
    </xf>
    <xf numFmtId="176" fontId="56" fillId="0" borderId="0" xfId="15" applyNumberFormat="1" applyFont="1" applyBorder="1" applyAlignment="1">
      <alignment horizontal="center" vertical="center"/>
    </xf>
    <xf numFmtId="41" fontId="0" fillId="0" borderId="0" xfId="0" applyNumberFormat="1" applyFont="1">
      <alignment vertical="center"/>
    </xf>
    <xf numFmtId="0" fontId="55" fillId="22" borderId="0" xfId="24" applyFont="1" applyFill="1" applyBorder="1">
      <alignment vertical="center"/>
    </xf>
    <xf numFmtId="176" fontId="40" fillId="0" borderId="0" xfId="1" applyNumberFormat="1" applyFont="1" applyFill="1" applyBorder="1" applyAlignment="1">
      <alignment horizontal="right" vertical="center"/>
    </xf>
    <xf numFmtId="176" fontId="40" fillId="0" borderId="0" xfId="1" applyNumberFormat="1" applyFont="1" applyBorder="1" applyAlignment="1">
      <alignment horizontal="right" vertical="center"/>
    </xf>
    <xf numFmtId="176" fontId="25" fillId="0" borderId="0" xfId="1" applyNumberFormat="1" applyFont="1">
      <alignment vertical="center"/>
    </xf>
    <xf numFmtId="176" fontId="56" fillId="0" borderId="0" xfId="1" applyNumberFormat="1" applyFont="1" applyBorder="1" applyAlignment="1">
      <alignment horizontal="center" vertical="center"/>
    </xf>
    <xf numFmtId="176" fontId="56" fillId="0" borderId="0" xfId="15" applyNumberFormat="1" applyFont="1" applyBorder="1" applyAlignment="1">
      <alignment horizontal="left" vertical="center"/>
    </xf>
    <xf numFmtId="176" fontId="6" fillId="0" borderId="0" xfId="3" applyNumberFormat="1" applyFont="1">
      <alignment vertical="center"/>
    </xf>
    <xf numFmtId="0" fontId="67" fillId="0" borderId="0" xfId="0" applyFont="1">
      <alignment vertical="center"/>
    </xf>
    <xf numFmtId="0" fontId="25" fillId="0" borderId="0" xfId="0" applyFont="1">
      <alignment vertical="center"/>
    </xf>
    <xf numFmtId="177" fontId="19" fillId="0" borderId="0" xfId="2" applyNumberFormat="1" applyFont="1" applyFill="1" applyAlignment="1"/>
    <xf numFmtId="3" fontId="19" fillId="0" borderId="0" xfId="8" applyNumberFormat="1" applyFont="1" applyFill="1"/>
    <xf numFmtId="176" fontId="36" fillId="0" borderId="0" xfId="15" applyNumberFormat="1" applyFont="1" applyBorder="1" applyAlignment="1">
      <alignment horizontal="center" vertical="center"/>
    </xf>
    <xf numFmtId="176" fontId="38" fillId="0" borderId="0" xfId="15" applyNumberFormat="1" applyFont="1" applyBorder="1" applyAlignment="1">
      <alignment horizontal="center" vertical="center"/>
    </xf>
    <xf numFmtId="176" fontId="40" fillId="0" borderId="0" xfId="39" applyNumberFormat="1" applyFont="1" applyBorder="1" applyAlignment="1">
      <alignment horizontal="center" vertical="center"/>
    </xf>
    <xf numFmtId="176" fontId="19" fillId="0" borderId="0" xfId="8" applyNumberFormat="1" applyFont="1" applyFill="1"/>
    <xf numFmtId="176" fontId="19" fillId="0" borderId="0" xfId="8" applyNumberFormat="1" applyFont="1"/>
    <xf numFmtId="176" fontId="19" fillId="0" borderId="0" xfId="8" applyNumberFormat="1" applyFont="1" applyFill="1" applyAlignment="1">
      <alignment horizontal="right"/>
    </xf>
    <xf numFmtId="9" fontId="40" fillId="0" borderId="0" xfId="15" applyNumberFormat="1" applyFont="1" applyBorder="1" applyAlignment="1">
      <alignment horizontal="center" vertical="center"/>
    </xf>
    <xf numFmtId="3" fontId="69" fillId="0" borderId="0" xfId="0" applyNumberFormat="1" applyFont="1" applyAlignment="1">
      <alignment horizontal="right" vertical="center"/>
    </xf>
    <xf numFmtId="224" fontId="15" fillId="0" borderId="0" xfId="1" applyNumberFormat="1" applyFont="1" applyAlignment="1">
      <alignment horizontal="right" vertical="center"/>
    </xf>
    <xf numFmtId="224" fontId="9" fillId="0" borderId="0" xfId="1" applyNumberFormat="1" applyFont="1" applyAlignment="1">
      <alignment horizontal="right" vertical="center"/>
    </xf>
    <xf numFmtId="224" fontId="9" fillId="0" borderId="0" xfId="0" applyNumberFormat="1" applyFont="1">
      <alignment vertical="center"/>
    </xf>
    <xf numFmtId="224" fontId="46" fillId="0" borderId="0" xfId="8" applyNumberFormat="1" applyFont="1" applyFill="1" applyAlignment="1">
      <alignment horizontal="right"/>
    </xf>
    <xf numFmtId="224" fontId="46" fillId="0" borderId="0" xfId="8" applyNumberFormat="1" applyFont="1" applyAlignment="1">
      <alignment horizontal="right"/>
    </xf>
    <xf numFmtId="224" fontId="45" fillId="0" borderId="0" xfId="18" applyNumberFormat="1" applyFont="1" applyBorder="1" applyAlignment="1">
      <alignment horizontal="right" vertical="center"/>
    </xf>
    <xf numFmtId="224" fontId="46" fillId="0" borderId="0" xfId="8" applyNumberFormat="1" applyFont="1" applyFill="1" applyBorder="1" applyAlignment="1">
      <alignment horizontal="right"/>
    </xf>
    <xf numFmtId="224" fontId="46" fillId="0" borderId="0" xfId="7" applyNumberFormat="1" applyFont="1" applyFill="1" applyAlignment="1">
      <alignment horizontal="right"/>
    </xf>
    <xf numFmtId="224" fontId="46" fillId="0" borderId="0" xfId="8" applyNumberFormat="1" applyFont="1" applyBorder="1" applyAlignment="1">
      <alignment horizontal="right"/>
    </xf>
    <xf numFmtId="227" fontId="45" fillId="0" borderId="0" xfId="18" applyNumberFormat="1" applyFont="1" applyBorder="1" applyAlignment="1">
      <alignment horizontal="center" vertical="center"/>
    </xf>
    <xf numFmtId="227" fontId="46" fillId="0" borderId="0" xfId="8" applyNumberFormat="1" applyFont="1" applyFill="1"/>
    <xf numFmtId="227" fontId="46" fillId="0" borderId="0" xfId="7" applyNumberFormat="1" applyFont="1" applyFill="1" applyAlignment="1"/>
    <xf numFmtId="227" fontId="46" fillId="0" borderId="0" xfId="8" applyNumberFormat="1" applyFont="1"/>
    <xf numFmtId="226" fontId="19" fillId="0" borderId="0" xfId="8" applyNumberFormat="1" applyFont="1" applyFill="1"/>
    <xf numFmtId="226" fontId="19" fillId="0" borderId="0" xfId="8" applyNumberFormat="1" applyFont="1"/>
    <xf numFmtId="227" fontId="19" fillId="0" borderId="0" xfId="8" applyNumberFormat="1" applyFont="1" applyFill="1"/>
    <xf numFmtId="227" fontId="19" fillId="0" borderId="0" xfId="8" applyNumberFormat="1" applyFont="1"/>
    <xf numFmtId="224" fontId="19" fillId="0" borderId="0" xfId="8" applyNumberFormat="1" applyFont="1" applyFill="1"/>
    <xf numFmtId="224" fontId="19" fillId="0" borderId="0" xfId="8" applyNumberFormat="1" applyFont="1"/>
    <xf numFmtId="224" fontId="53" fillId="0" borderId="0" xfId="18" applyNumberFormat="1" applyFont="1" applyBorder="1" applyAlignment="1">
      <alignment horizontal="right" vertical="center"/>
    </xf>
    <xf numFmtId="224" fontId="57" fillId="0" borderId="0" xfId="8" applyNumberFormat="1" applyFont="1" applyFill="1" applyBorder="1" applyAlignment="1">
      <alignment horizontal="right"/>
    </xf>
    <xf numFmtId="224" fontId="57" fillId="0" borderId="0" xfId="8" applyNumberFormat="1" applyFont="1" applyBorder="1" applyAlignment="1">
      <alignment horizontal="right"/>
    </xf>
    <xf numFmtId="224" fontId="57" fillId="0" borderId="0" xfId="8" applyNumberFormat="1" applyFont="1" applyFill="1" applyAlignment="1">
      <alignment horizontal="right"/>
    </xf>
    <xf numFmtId="224" fontId="57" fillId="0" borderId="0" xfId="8" applyNumberFormat="1" applyFont="1" applyAlignment="1">
      <alignment horizontal="right"/>
    </xf>
    <xf numFmtId="227" fontId="53" fillId="0" borderId="0" xfId="18" applyNumberFormat="1" applyFont="1" applyBorder="1" applyAlignment="1">
      <alignment horizontal="center" vertical="center"/>
    </xf>
    <xf numFmtId="227" fontId="57" fillId="0" borderId="0" xfId="8" applyNumberFormat="1" applyFont="1" applyFill="1"/>
    <xf numFmtId="227" fontId="57" fillId="0" borderId="0" xfId="8" applyNumberFormat="1" applyFont="1"/>
    <xf numFmtId="224" fontId="27" fillId="0" borderId="0" xfId="0" applyNumberFormat="1" applyFont="1" applyAlignment="1">
      <alignment horizontal="center" vertical="center"/>
    </xf>
    <xf numFmtId="224" fontId="34" fillId="6" borderId="64" xfId="1" applyNumberFormat="1" applyFont="1" applyFill="1" applyBorder="1" applyAlignment="1">
      <alignment horizontal="right" vertical="center"/>
    </xf>
    <xf numFmtId="224" fontId="27" fillId="0" borderId="0" xfId="1" applyNumberFormat="1" applyFont="1">
      <alignment vertical="center"/>
    </xf>
    <xf numFmtId="224" fontId="27" fillId="0" borderId="0" xfId="0" applyNumberFormat="1" applyFont="1">
      <alignment vertical="center"/>
    </xf>
    <xf numFmtId="227" fontId="27" fillId="0" borderId="0" xfId="0" applyNumberFormat="1" applyFont="1" applyAlignment="1">
      <alignment horizontal="center" vertical="center"/>
    </xf>
    <xf numFmtId="227" fontId="34" fillId="6" borderId="65" xfId="16" applyNumberFormat="1" applyFont="1" applyFill="1" applyBorder="1" applyAlignment="1">
      <alignment horizontal="center" vertical="center"/>
    </xf>
    <xf numFmtId="227" fontId="27" fillId="0" borderId="0" xfId="1" applyNumberFormat="1" applyFont="1">
      <alignment vertical="center"/>
    </xf>
    <xf numFmtId="227" fontId="27" fillId="0" borderId="0" xfId="0" applyNumberFormat="1" applyFont="1">
      <alignment vertical="center"/>
    </xf>
    <xf numFmtId="227" fontId="7" fillId="0" borderId="0" xfId="3" applyNumberFormat="1" applyFont="1" applyAlignment="1">
      <alignment horizontal="right" vertical="center"/>
    </xf>
    <xf numFmtId="227" fontId="15" fillId="0" borderId="0" xfId="0" applyNumberFormat="1" applyFont="1" applyAlignment="1">
      <alignment horizontal="right" vertical="center"/>
    </xf>
    <xf numFmtId="227" fontId="9" fillId="0" borderId="0" xfId="0" applyNumberFormat="1" applyFont="1" applyAlignment="1">
      <alignment horizontal="right" vertical="center"/>
    </xf>
    <xf numFmtId="227" fontId="9" fillId="0" borderId="0" xfId="0" applyNumberFormat="1" applyFont="1">
      <alignment vertical="center"/>
    </xf>
    <xf numFmtId="228" fontId="27" fillId="0" borderId="0" xfId="1" applyNumberFormat="1" applyFont="1" applyAlignment="1">
      <alignment horizontal="center" vertical="center"/>
    </xf>
    <xf numFmtId="228" fontId="33" fillId="0" borderId="0" xfId="1" applyNumberFormat="1" applyFont="1" applyAlignment="1">
      <alignment horizontal="center" vertical="center"/>
    </xf>
    <xf numFmtId="41" fontId="16" fillId="0" borderId="0" xfId="0" applyNumberFormat="1" applyFont="1">
      <alignment vertical="center"/>
    </xf>
    <xf numFmtId="3" fontId="70" fillId="0" borderId="0" xfId="0" applyNumberFormat="1" applyFont="1" applyAlignment="1">
      <alignment horizontal="right" vertical="center"/>
    </xf>
    <xf numFmtId="41" fontId="40" fillId="0" borderId="0" xfId="1" applyFont="1" applyBorder="1" applyAlignment="1">
      <alignment horizontal="center" vertical="center"/>
    </xf>
    <xf numFmtId="41" fontId="71" fillId="0" borderId="0" xfId="1" applyFont="1" applyAlignment="1">
      <alignment horizontal="justify" vertical="center"/>
    </xf>
    <xf numFmtId="178" fontId="15" fillId="0" borderId="0" xfId="0" applyNumberFormat="1" applyFont="1">
      <alignment vertical="center"/>
    </xf>
    <xf numFmtId="43" fontId="16" fillId="0" borderId="0" xfId="0" applyNumberFormat="1" applyFont="1">
      <alignment vertical="center"/>
    </xf>
    <xf numFmtId="41" fontId="21" fillId="0" borderId="0" xfId="15" applyNumberFormat="1" applyFont="1" applyBorder="1" applyAlignment="1">
      <alignment horizontal="center" vertical="center"/>
    </xf>
    <xf numFmtId="41" fontId="43" fillId="0" borderId="0" xfId="15" applyNumberFormat="1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41" fontId="52" fillId="0" borderId="0" xfId="7" applyFont="1" applyBorder="1" applyAlignment="1">
      <alignment horizontal="center" vertical="center"/>
    </xf>
    <xf numFmtId="0" fontId="76" fillId="0" borderId="105" xfId="0" applyFont="1" applyBorder="1">
      <alignment vertical="center"/>
    </xf>
    <xf numFmtId="0" fontId="76" fillId="0" borderId="106" xfId="0" applyFont="1" applyBorder="1">
      <alignment vertical="center"/>
    </xf>
    <xf numFmtId="212" fontId="75" fillId="0" borderId="0" xfId="0" applyNumberFormat="1" applyFont="1" applyAlignment="1">
      <alignment horizontal="right" vertical="center"/>
    </xf>
    <xf numFmtId="0" fontId="76" fillId="0" borderId="0" xfId="0" applyFont="1">
      <alignment vertical="center"/>
    </xf>
    <xf numFmtId="0" fontId="76" fillId="0" borderId="0" xfId="0" applyFont="1" applyBorder="1">
      <alignment vertical="center"/>
    </xf>
    <xf numFmtId="0" fontId="27" fillId="0" borderId="0" xfId="0" applyFont="1" applyFill="1">
      <alignment vertical="center"/>
    </xf>
    <xf numFmtId="0" fontId="78" fillId="0" borderId="0" xfId="0" applyFont="1">
      <alignment vertical="center"/>
    </xf>
    <xf numFmtId="0" fontId="79" fillId="0" borderId="0" xfId="0" applyFont="1">
      <alignment vertical="center"/>
    </xf>
    <xf numFmtId="0" fontId="80" fillId="0" borderId="0" xfId="0" applyFont="1">
      <alignment vertical="center"/>
    </xf>
    <xf numFmtId="0" fontId="81" fillId="0" borderId="0" xfId="0" applyFont="1">
      <alignment vertical="center"/>
    </xf>
    <xf numFmtId="176" fontId="80" fillId="0" borderId="0" xfId="1" applyNumberFormat="1" applyFont="1" applyAlignment="1">
      <alignment horizontal="right" vertical="center"/>
    </xf>
    <xf numFmtId="176" fontId="80" fillId="0" borderId="0" xfId="0" applyNumberFormat="1" applyFont="1" applyAlignment="1">
      <alignment horizontal="right" vertical="center"/>
    </xf>
    <xf numFmtId="0" fontId="85" fillId="14" borderId="72" xfId="15" applyFont="1" applyFill="1" applyBorder="1" applyAlignment="1">
      <alignment horizontal="center" vertical="center"/>
    </xf>
    <xf numFmtId="0" fontId="85" fillId="14" borderId="73" xfId="15" applyFont="1" applyFill="1" applyBorder="1" applyAlignment="1">
      <alignment horizontal="center" vertical="center"/>
    </xf>
    <xf numFmtId="0" fontId="85" fillId="14" borderId="74" xfId="15" applyFont="1" applyFill="1" applyBorder="1" applyAlignment="1">
      <alignment horizontal="center" vertical="center"/>
    </xf>
    <xf numFmtId="224" fontId="85" fillId="14" borderId="72" xfId="18" applyNumberFormat="1" applyFont="1" applyFill="1" applyBorder="1" applyAlignment="1">
      <alignment horizontal="center" vertical="center"/>
    </xf>
    <xf numFmtId="224" fontId="85" fillId="14" borderId="99" xfId="18" applyNumberFormat="1" applyFont="1" applyFill="1" applyBorder="1" applyAlignment="1">
      <alignment horizontal="center" vertical="center"/>
    </xf>
    <xf numFmtId="224" fontId="85" fillId="14" borderId="74" xfId="18" applyNumberFormat="1" applyFont="1" applyFill="1" applyBorder="1" applyAlignment="1">
      <alignment horizontal="center" vertical="center"/>
    </xf>
    <xf numFmtId="226" fontId="85" fillId="14" borderId="127" xfId="18" applyNumberFormat="1" applyFont="1" applyFill="1" applyBorder="1" applyAlignment="1">
      <alignment horizontal="center" vertical="center"/>
    </xf>
    <xf numFmtId="226" fontId="85" fillId="14" borderId="99" xfId="18" applyNumberFormat="1" applyFont="1" applyFill="1" applyBorder="1" applyAlignment="1">
      <alignment horizontal="center" vertical="center"/>
    </xf>
    <xf numFmtId="226" fontId="85" fillId="14" borderId="74" xfId="15" applyNumberFormat="1" applyFont="1" applyFill="1" applyBorder="1" applyAlignment="1">
      <alignment horizontal="center" vertical="center"/>
    </xf>
    <xf numFmtId="41" fontId="34" fillId="6" borderId="35" xfId="7" applyFont="1" applyFill="1" applyBorder="1" applyAlignment="1">
      <alignment horizontal="center" vertical="center"/>
    </xf>
    <xf numFmtId="176" fontId="34" fillId="6" borderId="82" xfId="1" applyNumberFormat="1" applyFont="1" applyFill="1" applyBorder="1" applyAlignment="1">
      <alignment horizontal="right" vertical="center"/>
    </xf>
    <xf numFmtId="176" fontId="34" fillId="6" borderId="83" xfId="1" applyNumberFormat="1" applyFont="1" applyFill="1" applyBorder="1" applyAlignment="1">
      <alignment horizontal="right" vertical="center"/>
    </xf>
    <xf numFmtId="176" fontId="34" fillId="6" borderId="84" xfId="1" applyNumberFormat="1" applyFont="1" applyFill="1" applyBorder="1" applyAlignment="1">
      <alignment horizontal="right" vertical="center"/>
    </xf>
    <xf numFmtId="224" fontId="34" fillId="6" borderId="82" xfId="1" applyNumberFormat="1" applyFont="1" applyFill="1" applyBorder="1" applyAlignment="1">
      <alignment horizontal="right" vertical="center"/>
    </xf>
    <xf numFmtId="224" fontId="34" fillId="6" borderId="83" xfId="1" applyNumberFormat="1" applyFont="1" applyFill="1" applyBorder="1" applyAlignment="1">
      <alignment horizontal="right" vertical="center"/>
    </xf>
    <xf numFmtId="224" fontId="34" fillId="6" borderId="84" xfId="1" applyNumberFormat="1" applyFont="1" applyFill="1" applyBorder="1" applyAlignment="1">
      <alignment horizontal="right" vertical="center"/>
    </xf>
    <xf numFmtId="227" fontId="34" fillId="6" borderId="35" xfId="2" applyNumberFormat="1" applyFont="1" applyFill="1" applyBorder="1" applyAlignment="1">
      <alignment horizontal="center" vertical="center"/>
    </xf>
    <xf numFmtId="227" fontId="34" fillId="6" borderId="107" xfId="2" applyNumberFormat="1" applyFont="1" applyFill="1" applyBorder="1" applyAlignment="1">
      <alignment horizontal="center" vertical="center"/>
    </xf>
    <xf numFmtId="227" fontId="34" fillId="6" borderId="84" xfId="2" applyNumberFormat="1" applyFont="1" applyFill="1" applyBorder="1" applyAlignment="1">
      <alignment horizontal="center" vertical="center"/>
    </xf>
    <xf numFmtId="0" fontId="85" fillId="11" borderId="76" xfId="15" applyFont="1" applyFill="1" applyBorder="1" applyAlignment="1">
      <alignment horizontal="center" vertical="center"/>
    </xf>
    <xf numFmtId="224" fontId="85" fillId="11" borderId="76" xfId="18" applyNumberFormat="1" applyFont="1" applyFill="1" applyBorder="1" applyAlignment="1">
      <alignment horizontal="center" vertical="center"/>
    </xf>
    <xf numFmtId="227" fontId="85" fillId="11" borderId="77" xfId="15" applyNumberFormat="1" applyFont="1" applyFill="1" applyBorder="1" applyAlignment="1">
      <alignment horizontal="center" vertical="center"/>
    </xf>
    <xf numFmtId="41" fontId="34" fillId="6" borderId="63" xfId="7" applyFont="1" applyFill="1" applyBorder="1" applyAlignment="1">
      <alignment horizontal="center" vertical="center"/>
    </xf>
    <xf numFmtId="176" fontId="34" fillId="6" borderId="64" xfId="18" applyNumberFormat="1" applyFont="1" applyFill="1" applyBorder="1" applyAlignment="1">
      <alignment horizontal="right" vertical="center"/>
    </xf>
    <xf numFmtId="177" fontId="34" fillId="6" borderId="64" xfId="16" applyNumberFormat="1" applyFont="1" applyFill="1" applyBorder="1" applyAlignment="1">
      <alignment horizontal="center" vertical="center"/>
    </xf>
    <xf numFmtId="224" fontId="34" fillId="6" borderId="64" xfId="18" applyNumberFormat="1" applyFont="1" applyFill="1" applyBorder="1" applyAlignment="1">
      <alignment horizontal="right" vertical="center"/>
    </xf>
    <xf numFmtId="41" fontId="85" fillId="12" borderId="63" xfId="7" applyFont="1" applyFill="1" applyBorder="1" applyAlignment="1" applyProtection="1">
      <alignment horizontal="left" vertical="center" wrapText="1"/>
      <protection locked="0"/>
    </xf>
    <xf numFmtId="176" fontId="85" fillId="12" borderId="64" xfId="18" applyNumberFormat="1" applyFont="1" applyFill="1" applyBorder="1" applyAlignment="1">
      <alignment horizontal="right" vertical="center"/>
    </xf>
    <xf numFmtId="177" fontId="85" fillId="12" borderId="64" xfId="17" applyNumberFormat="1" applyFont="1" applyFill="1" applyBorder="1" applyAlignment="1">
      <alignment horizontal="center" vertical="center"/>
    </xf>
    <xf numFmtId="224" fontId="85" fillId="12" borderId="64" xfId="18" applyNumberFormat="1" applyFont="1" applyFill="1" applyBorder="1" applyAlignment="1">
      <alignment horizontal="right" vertical="center"/>
    </xf>
    <xf numFmtId="227" fontId="85" fillId="12" borderId="65" xfId="16" applyNumberFormat="1" applyFont="1" applyFill="1" applyBorder="1" applyAlignment="1">
      <alignment horizontal="center" vertical="center"/>
    </xf>
    <xf numFmtId="41" fontId="85" fillId="23" borderId="63" xfId="7" applyFont="1" applyFill="1" applyBorder="1" applyAlignment="1">
      <alignment vertical="center"/>
    </xf>
    <xf numFmtId="176" fontId="85" fillId="23" borderId="64" xfId="18" applyNumberFormat="1" applyFont="1" applyFill="1" applyBorder="1" applyAlignment="1">
      <alignment horizontal="right" vertical="center"/>
    </xf>
    <xf numFmtId="177" fontId="85" fillId="23" borderId="64" xfId="17" applyNumberFormat="1" applyFont="1" applyFill="1" applyBorder="1" applyAlignment="1">
      <alignment horizontal="center" vertical="center"/>
    </xf>
    <xf numFmtId="224" fontId="85" fillId="23" borderId="64" xfId="18" applyNumberFormat="1" applyFont="1" applyFill="1" applyBorder="1" applyAlignment="1">
      <alignment horizontal="right" vertical="center"/>
    </xf>
    <xf numFmtId="227" fontId="85" fillId="23" borderId="65" xfId="17" applyNumberFormat="1" applyFont="1" applyFill="1" applyBorder="1" applyAlignment="1">
      <alignment horizontal="center" vertical="center"/>
    </xf>
    <xf numFmtId="41" fontId="86" fillId="23" borderId="63" xfId="7" applyFont="1" applyFill="1" applyBorder="1" applyAlignment="1">
      <alignment vertical="center"/>
    </xf>
    <xf numFmtId="176" fontId="86" fillId="23" borderId="64" xfId="18" applyNumberFormat="1" applyFont="1" applyFill="1" applyBorder="1" applyAlignment="1">
      <alignment horizontal="right" vertical="center"/>
    </xf>
    <xf numFmtId="177" fontId="86" fillId="23" borderId="64" xfId="17" applyNumberFormat="1" applyFont="1" applyFill="1" applyBorder="1" applyAlignment="1">
      <alignment horizontal="center" vertical="center"/>
    </xf>
    <xf numFmtId="177" fontId="86" fillId="23" borderId="64" xfId="16" applyNumberFormat="1" applyFont="1" applyFill="1" applyBorder="1" applyAlignment="1">
      <alignment horizontal="center" vertical="center"/>
    </xf>
    <xf numFmtId="224" fontId="86" fillId="23" borderId="64" xfId="18" applyNumberFormat="1" applyFont="1" applyFill="1" applyBorder="1" applyAlignment="1">
      <alignment horizontal="right" vertical="center"/>
    </xf>
    <xf numFmtId="227" fontId="86" fillId="23" borderId="65" xfId="17" applyNumberFormat="1" applyFont="1" applyFill="1" applyBorder="1" applyAlignment="1">
      <alignment horizontal="center" vertical="center"/>
    </xf>
    <xf numFmtId="41" fontId="86" fillId="23" borderId="80" xfId="7" applyFont="1" applyFill="1" applyBorder="1" applyAlignment="1">
      <alignment vertical="center"/>
    </xf>
    <xf numFmtId="176" fontId="86" fillId="23" borderId="81" xfId="18" applyNumberFormat="1" applyFont="1" applyFill="1" applyBorder="1" applyAlignment="1">
      <alignment horizontal="right" vertical="center"/>
    </xf>
    <xf numFmtId="177" fontId="86" fillId="23" borderId="81" xfId="17" applyNumberFormat="1" applyFont="1" applyFill="1" applyBorder="1" applyAlignment="1">
      <alignment horizontal="center" vertical="center"/>
    </xf>
    <xf numFmtId="177" fontId="86" fillId="23" borderId="81" xfId="16" applyNumberFormat="1" applyFont="1" applyFill="1" applyBorder="1" applyAlignment="1">
      <alignment horizontal="center" vertical="center"/>
    </xf>
    <xf numFmtId="224" fontId="86" fillId="23" borderId="81" xfId="18" applyNumberFormat="1" applyFont="1" applyFill="1" applyBorder="1" applyAlignment="1">
      <alignment horizontal="right" vertical="center"/>
    </xf>
    <xf numFmtId="41" fontId="85" fillId="13" borderId="82" xfId="7" applyFont="1" applyFill="1" applyBorder="1" applyAlignment="1">
      <alignment horizontal="left" vertical="center"/>
    </xf>
    <xf numFmtId="176" fontId="85" fillId="13" borderId="83" xfId="18" applyNumberFormat="1" applyFont="1" applyFill="1" applyBorder="1" applyAlignment="1">
      <alignment horizontal="right" vertical="center"/>
    </xf>
    <xf numFmtId="177" fontId="85" fillId="13" borderId="83" xfId="16" applyNumberFormat="1" applyFont="1" applyFill="1" applyBorder="1" applyAlignment="1">
      <alignment horizontal="center" vertical="center"/>
    </xf>
    <xf numFmtId="224" fontId="85" fillId="13" borderId="83" xfId="18" applyNumberFormat="1" applyFont="1" applyFill="1" applyBorder="1" applyAlignment="1">
      <alignment horizontal="right" vertical="center"/>
    </xf>
    <xf numFmtId="227" fontId="85" fillId="13" borderId="84" xfId="16" applyNumberFormat="1" applyFont="1" applyFill="1" applyBorder="1" applyAlignment="1">
      <alignment horizontal="center" vertical="center"/>
    </xf>
    <xf numFmtId="177" fontId="85" fillId="23" borderId="64" xfId="16" applyNumberFormat="1" applyFont="1" applyFill="1" applyBorder="1" applyAlignment="1">
      <alignment horizontal="center" vertical="center"/>
    </xf>
    <xf numFmtId="227" fontId="85" fillId="23" borderId="65" xfId="16" applyNumberFormat="1" applyFont="1" applyFill="1" applyBorder="1" applyAlignment="1">
      <alignment horizontal="center" vertical="center"/>
    </xf>
    <xf numFmtId="41" fontId="90" fillId="6" borderId="63" xfId="7" applyFont="1" applyFill="1" applyBorder="1" applyAlignment="1">
      <alignment horizontal="center" vertical="center"/>
    </xf>
    <xf numFmtId="176" fontId="90" fillId="6" borderId="64" xfId="18" applyNumberFormat="1" applyFont="1" applyFill="1" applyBorder="1" applyAlignment="1">
      <alignment horizontal="right" vertical="center"/>
    </xf>
    <xf numFmtId="177" fontId="90" fillId="6" borderId="64" xfId="16" applyNumberFormat="1" applyFont="1" applyFill="1" applyBorder="1" applyAlignment="1">
      <alignment horizontal="center" vertical="center"/>
    </xf>
    <xf numFmtId="224" fontId="90" fillId="6" borderId="64" xfId="18" applyNumberFormat="1" applyFont="1" applyFill="1" applyBorder="1" applyAlignment="1">
      <alignment horizontal="right" vertical="center"/>
    </xf>
    <xf numFmtId="227" fontId="90" fillId="6" borderId="65" xfId="16" applyNumberFormat="1" applyFont="1" applyFill="1" applyBorder="1" applyAlignment="1">
      <alignment horizontal="center" vertical="center"/>
    </xf>
    <xf numFmtId="41" fontId="89" fillId="12" borderId="63" xfId="7" applyFont="1" applyFill="1" applyBorder="1" applyAlignment="1" applyProtection="1">
      <alignment horizontal="left" vertical="center" wrapText="1"/>
      <protection locked="0"/>
    </xf>
    <xf numFmtId="176" fontId="89" fillId="12" borderId="64" xfId="18" applyNumberFormat="1" applyFont="1" applyFill="1" applyBorder="1" applyAlignment="1">
      <alignment horizontal="right" vertical="center"/>
    </xf>
    <xf numFmtId="177" fontId="89" fillId="12" borderId="64" xfId="17" applyNumberFormat="1" applyFont="1" applyFill="1" applyBorder="1" applyAlignment="1">
      <alignment horizontal="center" vertical="center"/>
    </xf>
    <xf numFmtId="224" fontId="89" fillId="12" borderId="64" xfId="18" applyNumberFormat="1" applyFont="1" applyFill="1" applyBorder="1" applyAlignment="1">
      <alignment horizontal="right" vertical="center"/>
    </xf>
    <xf numFmtId="227" fontId="89" fillId="12" borderId="65" xfId="16" applyNumberFormat="1" applyFont="1" applyFill="1" applyBorder="1" applyAlignment="1">
      <alignment horizontal="center" vertical="center"/>
    </xf>
    <xf numFmtId="41" fontId="91" fillId="0" borderId="0" xfId="18" applyFont="1" applyAlignment="1">
      <alignment horizontal="center" vertical="center"/>
    </xf>
    <xf numFmtId="0" fontId="74" fillId="0" borderId="0" xfId="8" applyFont="1" applyFill="1" applyAlignment="1"/>
    <xf numFmtId="224" fontId="74" fillId="0" borderId="0" xfId="8" applyNumberFormat="1" applyFont="1" applyFill="1" applyBorder="1"/>
    <xf numFmtId="227" fontId="74" fillId="0" borderId="0" xfId="8" applyNumberFormat="1" applyFont="1" applyFill="1"/>
    <xf numFmtId="176" fontId="74" fillId="0" borderId="0" xfId="8" applyNumberFormat="1" applyFont="1" applyFill="1" applyAlignment="1"/>
    <xf numFmtId="0" fontId="74" fillId="0" borderId="0" xfId="8" applyFont="1" applyAlignment="1"/>
    <xf numFmtId="224" fontId="74" fillId="0" borderId="0" xfId="8" applyNumberFormat="1" applyFont="1" applyBorder="1"/>
    <xf numFmtId="227" fontId="74" fillId="0" borderId="0" xfId="8" applyNumberFormat="1" applyFont="1"/>
    <xf numFmtId="0" fontId="85" fillId="14" borderId="76" xfId="15" applyFont="1" applyFill="1" applyBorder="1" applyAlignment="1">
      <alignment horizontal="center" vertical="center"/>
    </xf>
    <xf numFmtId="41" fontId="85" fillId="14" borderId="76" xfId="18" applyFont="1" applyFill="1" applyBorder="1" applyAlignment="1">
      <alignment horizontal="center" vertical="center"/>
    </xf>
    <xf numFmtId="227" fontId="85" fillId="14" borderId="77" xfId="15" applyNumberFormat="1" applyFont="1" applyFill="1" applyBorder="1" applyAlignment="1">
      <alignment horizontal="center" vertical="center"/>
    </xf>
    <xf numFmtId="177" fontId="85" fillId="12" borderId="64" xfId="16" applyNumberFormat="1" applyFont="1" applyFill="1" applyBorder="1" applyAlignment="1">
      <alignment horizontal="center" vertical="center"/>
    </xf>
    <xf numFmtId="41" fontId="85" fillId="13" borderId="63" xfId="7" applyFont="1" applyFill="1" applyBorder="1" applyAlignment="1">
      <alignment horizontal="left" vertical="center"/>
    </xf>
    <xf numFmtId="176" fontId="85" fillId="13" borderId="64" xfId="18" applyNumberFormat="1" applyFont="1" applyFill="1" applyBorder="1" applyAlignment="1">
      <alignment horizontal="right" vertical="center"/>
    </xf>
    <xf numFmtId="177" fontId="85" fillId="13" borderId="64" xfId="16" applyNumberFormat="1" applyFont="1" applyFill="1" applyBorder="1" applyAlignment="1">
      <alignment horizontal="center" vertical="center"/>
    </xf>
    <xf numFmtId="224" fontId="85" fillId="13" borderId="64" xfId="18" applyNumberFormat="1" applyFont="1" applyFill="1" applyBorder="1" applyAlignment="1">
      <alignment horizontal="right" vertical="center"/>
    </xf>
    <xf numFmtId="227" fontId="85" fillId="13" borderId="65" xfId="16" applyNumberFormat="1" applyFont="1" applyFill="1" applyBorder="1" applyAlignment="1">
      <alignment horizontal="center" vertical="center"/>
    </xf>
    <xf numFmtId="177" fontId="89" fillId="12" borderId="64" xfId="16" applyNumberFormat="1" applyFont="1" applyFill="1" applyBorder="1" applyAlignment="1">
      <alignment horizontal="center" vertical="center"/>
    </xf>
    <xf numFmtId="41" fontId="89" fillId="11" borderId="61" xfId="18" applyFont="1" applyFill="1" applyBorder="1" applyAlignment="1">
      <alignment horizontal="center" vertical="center"/>
    </xf>
    <xf numFmtId="0" fontId="89" fillId="11" borderId="61" xfId="15" applyFont="1" applyFill="1" applyBorder="1" applyAlignment="1">
      <alignment horizontal="center" vertical="center"/>
    </xf>
    <xf numFmtId="224" fontId="89" fillId="11" borderId="61" xfId="18" applyNumberFormat="1" applyFont="1" applyFill="1" applyBorder="1" applyAlignment="1">
      <alignment horizontal="center" vertical="center"/>
    </xf>
    <xf numFmtId="227" fontId="89" fillId="11" borderId="94" xfId="15" applyNumberFormat="1" applyFont="1" applyFill="1" applyBorder="1" applyAlignment="1">
      <alignment horizontal="center" vertical="center"/>
    </xf>
    <xf numFmtId="41" fontId="89" fillId="15" borderId="61" xfId="18" applyFont="1" applyFill="1" applyBorder="1" applyAlignment="1">
      <alignment horizontal="center" vertical="center"/>
    </xf>
    <xf numFmtId="0" fontId="89" fillId="15" borderId="61" xfId="15" applyFont="1" applyFill="1" applyBorder="1" applyAlignment="1">
      <alignment horizontal="center" vertical="center"/>
    </xf>
    <xf numFmtId="224" fontId="89" fillId="15" borderId="61" xfId="18" applyNumberFormat="1" applyFont="1" applyFill="1" applyBorder="1" applyAlignment="1">
      <alignment horizontal="center" vertical="center"/>
    </xf>
    <xf numFmtId="227" fontId="89" fillId="15" borderId="62" xfId="15" applyNumberFormat="1" applyFont="1" applyFill="1" applyBorder="1" applyAlignment="1">
      <alignment horizontal="center" vertical="center"/>
    </xf>
    <xf numFmtId="227" fontId="90" fillId="6" borderId="96" xfId="16" applyNumberFormat="1" applyFont="1" applyFill="1" applyBorder="1" applyAlignment="1">
      <alignment horizontal="center" vertical="center"/>
    </xf>
    <xf numFmtId="41" fontId="90" fillId="6" borderId="97" xfId="7" applyFont="1" applyFill="1" applyBorder="1" applyAlignment="1">
      <alignment horizontal="center" vertical="center"/>
    </xf>
    <xf numFmtId="227" fontId="89" fillId="12" borderId="96" xfId="16" applyNumberFormat="1" applyFont="1" applyFill="1" applyBorder="1" applyAlignment="1">
      <alignment horizontal="center" vertical="center"/>
    </xf>
    <xf numFmtId="41" fontId="89" fillId="12" borderId="97" xfId="7" applyFont="1" applyFill="1" applyBorder="1" applyAlignment="1" applyProtection="1">
      <alignment horizontal="left" vertical="center" wrapText="1"/>
      <protection locked="0"/>
    </xf>
    <xf numFmtId="41" fontId="89" fillId="16" borderId="63" xfId="7" applyFont="1" applyFill="1" applyBorder="1" applyAlignment="1">
      <alignment horizontal="left" vertical="center"/>
    </xf>
    <xf numFmtId="176" fontId="89" fillId="16" borderId="64" xfId="18" applyNumberFormat="1" applyFont="1" applyFill="1" applyBorder="1" applyAlignment="1">
      <alignment horizontal="right" vertical="center"/>
    </xf>
    <xf numFmtId="177" fontId="89" fillId="16" borderId="64" xfId="16" applyNumberFormat="1" applyFont="1" applyFill="1" applyBorder="1" applyAlignment="1">
      <alignment horizontal="center" vertical="center"/>
    </xf>
    <xf numFmtId="224" fontId="89" fillId="16" borderId="64" xfId="18" applyNumberFormat="1" applyFont="1" applyFill="1" applyBorder="1" applyAlignment="1">
      <alignment horizontal="right" vertical="center"/>
    </xf>
    <xf numFmtId="227" fontId="89" fillId="16" borderId="96" xfId="16" applyNumberFormat="1" applyFont="1" applyFill="1" applyBorder="1" applyAlignment="1">
      <alignment horizontal="center" vertical="center"/>
    </xf>
    <xf numFmtId="41" fontId="89" fillId="16" borderId="97" xfId="7" applyFont="1" applyFill="1" applyBorder="1" applyAlignment="1">
      <alignment horizontal="left" vertical="center"/>
    </xf>
    <xf numFmtId="227" fontId="89" fillId="16" borderId="65" xfId="16" applyNumberFormat="1" applyFont="1" applyFill="1" applyBorder="1" applyAlignment="1">
      <alignment horizontal="center" vertical="center"/>
    </xf>
    <xf numFmtId="0" fontId="93" fillId="11" borderId="73" xfId="15" applyFont="1" applyFill="1" applyBorder="1" applyAlignment="1">
      <alignment horizontal="center" vertical="center"/>
    </xf>
    <xf numFmtId="224" fontId="93" fillId="11" borderId="73" xfId="18" applyNumberFormat="1" applyFont="1" applyFill="1" applyBorder="1" applyAlignment="1">
      <alignment horizontal="center" vertical="center"/>
    </xf>
    <xf numFmtId="227" fontId="93" fillId="11" borderId="99" xfId="15" applyNumberFormat="1" applyFont="1" applyFill="1" applyBorder="1" applyAlignment="1">
      <alignment horizontal="center" vertical="center"/>
    </xf>
    <xf numFmtId="176" fontId="93" fillId="15" borderId="73" xfId="15" applyNumberFormat="1" applyFont="1" applyFill="1" applyBorder="1" applyAlignment="1">
      <alignment horizontal="center" vertical="center"/>
    </xf>
    <xf numFmtId="0" fontId="93" fillId="15" borderId="73" xfId="15" applyFont="1" applyFill="1" applyBorder="1" applyAlignment="1">
      <alignment horizontal="center" vertical="center"/>
    </xf>
    <xf numFmtId="224" fontId="93" fillId="15" borderId="73" xfId="18" applyNumberFormat="1" applyFont="1" applyFill="1" applyBorder="1" applyAlignment="1">
      <alignment horizontal="center" vertical="center"/>
    </xf>
    <xf numFmtId="227" fontId="93" fillId="15" borderId="74" xfId="15" applyNumberFormat="1" applyFont="1" applyFill="1" applyBorder="1" applyAlignment="1">
      <alignment horizontal="center" vertical="center"/>
    </xf>
    <xf numFmtId="176" fontId="94" fillId="6" borderId="83" xfId="18" applyNumberFormat="1" applyFont="1" applyFill="1" applyBorder="1" applyAlignment="1">
      <alignment horizontal="right" vertical="center"/>
    </xf>
    <xf numFmtId="177" fontId="94" fillId="6" borderId="83" xfId="16" applyNumberFormat="1" applyFont="1" applyFill="1" applyBorder="1" applyAlignment="1">
      <alignment horizontal="center" vertical="center"/>
    </xf>
    <xf numFmtId="224" fontId="94" fillId="6" borderId="83" xfId="18" applyNumberFormat="1" applyFont="1" applyFill="1" applyBorder="1" applyAlignment="1">
      <alignment horizontal="right" vertical="center"/>
    </xf>
    <xf numFmtId="227" fontId="94" fillId="6" borderId="107" xfId="16" applyNumberFormat="1" applyFont="1" applyFill="1" applyBorder="1" applyAlignment="1">
      <alignment horizontal="center" vertical="center"/>
    </xf>
    <xf numFmtId="227" fontId="94" fillId="6" borderId="84" xfId="16" applyNumberFormat="1" applyFont="1" applyFill="1" applyBorder="1" applyAlignment="1">
      <alignment horizontal="center" vertical="center"/>
    </xf>
    <xf numFmtId="176" fontId="93" fillId="12" borderId="64" xfId="18" applyNumberFormat="1" applyFont="1" applyFill="1" applyBorder="1" applyAlignment="1">
      <alignment horizontal="right" vertical="center"/>
    </xf>
    <xf numFmtId="177" fontId="93" fillId="12" borderId="64" xfId="17" applyNumberFormat="1" applyFont="1" applyFill="1" applyBorder="1" applyAlignment="1">
      <alignment horizontal="center" vertical="center"/>
    </xf>
    <xf numFmtId="224" fontId="93" fillId="12" borderId="64" xfId="18" applyNumberFormat="1" applyFont="1" applyFill="1" applyBorder="1" applyAlignment="1">
      <alignment horizontal="right" vertical="center"/>
    </xf>
    <xf numFmtId="227" fontId="93" fillId="12" borderId="96" xfId="16" applyNumberFormat="1" applyFont="1" applyFill="1" applyBorder="1" applyAlignment="1">
      <alignment horizontal="center" vertical="center"/>
    </xf>
    <xf numFmtId="177" fontId="93" fillId="12" borderId="64" xfId="16" applyNumberFormat="1" applyFont="1" applyFill="1" applyBorder="1" applyAlignment="1">
      <alignment horizontal="center" vertical="center"/>
    </xf>
    <xf numFmtId="227" fontId="93" fillId="12" borderId="65" xfId="16" applyNumberFormat="1" applyFont="1" applyFill="1" applyBorder="1" applyAlignment="1">
      <alignment horizontal="center" vertical="center"/>
    </xf>
    <xf numFmtId="176" fontId="93" fillId="23" borderId="64" xfId="18" applyNumberFormat="1" applyFont="1" applyFill="1" applyBorder="1" applyAlignment="1">
      <alignment horizontal="right" vertical="center"/>
    </xf>
    <xf numFmtId="177" fontId="93" fillId="23" borderId="64" xfId="17" applyNumberFormat="1" applyFont="1" applyFill="1" applyBorder="1" applyAlignment="1">
      <alignment horizontal="center" vertical="center"/>
    </xf>
    <xf numFmtId="224" fontId="93" fillId="23" borderId="64" xfId="18" applyNumberFormat="1" applyFont="1" applyFill="1" applyBorder="1" applyAlignment="1">
      <alignment horizontal="right" vertical="center"/>
    </xf>
    <xf numFmtId="227" fontId="93" fillId="23" borderId="65" xfId="16" applyNumberFormat="1" applyFont="1" applyFill="1" applyBorder="1" applyAlignment="1">
      <alignment horizontal="center" vertical="center"/>
    </xf>
    <xf numFmtId="176" fontId="92" fillId="23" borderId="64" xfId="18" applyNumberFormat="1" applyFont="1" applyFill="1" applyBorder="1" applyAlignment="1">
      <alignment horizontal="right" vertical="center"/>
    </xf>
    <xf numFmtId="224" fontId="92" fillId="23" borderId="64" xfId="18" applyNumberFormat="1" applyFont="1" applyFill="1" applyBorder="1" applyAlignment="1">
      <alignment horizontal="right" vertical="center"/>
    </xf>
    <xf numFmtId="227" fontId="92" fillId="23" borderId="65" xfId="17" applyNumberFormat="1" applyFont="1" applyFill="1" applyBorder="1" applyAlignment="1">
      <alignment horizontal="center" vertical="center"/>
    </xf>
    <xf numFmtId="176" fontId="93" fillId="13" borderId="83" xfId="18" applyNumberFormat="1" applyFont="1" applyFill="1" applyBorder="1" applyAlignment="1">
      <alignment horizontal="right" vertical="center"/>
    </xf>
    <xf numFmtId="177" fontId="93" fillId="13" borderId="83" xfId="16" applyNumberFormat="1" applyFont="1" applyFill="1" applyBorder="1" applyAlignment="1">
      <alignment horizontal="center" vertical="center"/>
    </xf>
    <xf numFmtId="224" fontId="93" fillId="13" borderId="83" xfId="18" applyNumberFormat="1" applyFont="1" applyFill="1" applyBorder="1" applyAlignment="1">
      <alignment horizontal="right" vertical="center"/>
    </xf>
    <xf numFmtId="227" fontId="93" fillId="13" borderId="107" xfId="16" applyNumberFormat="1" applyFont="1" applyFill="1" applyBorder="1" applyAlignment="1">
      <alignment horizontal="center" vertical="center"/>
    </xf>
    <xf numFmtId="177" fontId="93" fillId="23" borderId="64" xfId="16" applyNumberFormat="1" applyFont="1" applyFill="1" applyBorder="1" applyAlignment="1">
      <alignment horizontal="center" vertical="center"/>
    </xf>
    <xf numFmtId="227" fontId="93" fillId="23" borderId="96" xfId="16" applyNumberFormat="1" applyFont="1" applyFill="1" applyBorder="1" applyAlignment="1">
      <alignment horizontal="center" vertical="center"/>
    </xf>
    <xf numFmtId="227" fontId="93" fillId="23" borderId="96" xfId="17" applyNumberFormat="1" applyFont="1" applyFill="1" applyBorder="1" applyAlignment="1">
      <alignment horizontal="center" vertical="center"/>
    </xf>
    <xf numFmtId="176" fontId="93" fillId="0" borderId="70" xfId="18" applyNumberFormat="1" applyFont="1" applyFill="1" applyBorder="1" applyAlignment="1">
      <alignment horizontal="right" vertical="center"/>
    </xf>
    <xf numFmtId="177" fontId="93" fillId="0" borderId="70" xfId="17" applyNumberFormat="1" applyFont="1" applyFill="1" applyBorder="1" applyAlignment="1">
      <alignment horizontal="center" vertical="center"/>
    </xf>
    <xf numFmtId="224" fontId="93" fillId="0" borderId="70" xfId="18" applyNumberFormat="1" applyFont="1" applyFill="1" applyBorder="1" applyAlignment="1">
      <alignment horizontal="right" vertical="center"/>
    </xf>
    <xf numFmtId="227" fontId="93" fillId="0" borderId="71" xfId="17" applyNumberFormat="1" applyFont="1" applyFill="1" applyBorder="1" applyAlignment="1">
      <alignment horizontal="center" vertical="center"/>
    </xf>
    <xf numFmtId="176" fontId="93" fillId="0" borderId="76" xfId="18" applyNumberFormat="1" applyFont="1" applyFill="1" applyBorder="1" applyAlignment="1">
      <alignment horizontal="right" vertical="center"/>
    </xf>
    <xf numFmtId="177" fontId="93" fillId="0" borderId="76" xfId="17" applyNumberFormat="1" applyFont="1" applyFill="1" applyBorder="1" applyAlignment="1">
      <alignment horizontal="center" vertical="center"/>
    </xf>
    <xf numFmtId="224" fontId="93" fillId="0" borderId="76" xfId="18" applyNumberFormat="1" applyFont="1" applyFill="1" applyBorder="1" applyAlignment="1">
      <alignment horizontal="right" vertical="center"/>
    </xf>
    <xf numFmtId="227" fontId="93" fillId="0" borderId="77" xfId="17" applyNumberFormat="1" applyFont="1" applyFill="1" applyBorder="1" applyAlignment="1">
      <alignment horizontal="center" vertical="center"/>
    </xf>
    <xf numFmtId="176" fontId="93" fillId="0" borderId="67" xfId="18" applyNumberFormat="1" applyFont="1" applyFill="1" applyBorder="1" applyAlignment="1">
      <alignment horizontal="right" vertical="center"/>
    </xf>
    <xf numFmtId="177" fontId="93" fillId="0" borderId="67" xfId="17" applyNumberFormat="1" applyFont="1" applyFill="1" applyBorder="1" applyAlignment="1">
      <alignment horizontal="center" vertical="center"/>
    </xf>
    <xf numFmtId="224" fontId="93" fillId="0" borderId="67" xfId="18" applyNumberFormat="1" applyFont="1" applyFill="1" applyBorder="1" applyAlignment="1">
      <alignment horizontal="right" vertical="center"/>
    </xf>
    <xf numFmtId="227" fontId="93" fillId="0" borderId="68" xfId="17" applyNumberFormat="1" applyFont="1" applyFill="1" applyBorder="1" applyAlignment="1">
      <alignment horizontal="center" vertical="center"/>
    </xf>
    <xf numFmtId="41" fontId="52" fillId="0" borderId="0" xfId="7" applyFont="1" applyBorder="1" applyAlignment="1">
      <alignment horizontal="center" vertical="center" shrinkToFit="1"/>
    </xf>
    <xf numFmtId="41" fontId="57" fillId="0" borderId="0" xfId="7" applyFont="1" applyFill="1" applyAlignment="1">
      <alignment shrinkToFit="1"/>
    </xf>
    <xf numFmtId="41" fontId="57" fillId="0" borderId="0" xfId="7" applyFont="1" applyAlignment="1">
      <alignment shrinkToFit="1"/>
    </xf>
    <xf numFmtId="0" fontId="51" fillId="0" borderId="0" xfId="15" applyFont="1" applyBorder="1" applyAlignment="1">
      <alignment horizontal="center" vertical="center" shrinkToFit="1"/>
    </xf>
    <xf numFmtId="0" fontId="57" fillId="0" borderId="0" xfId="8" applyFont="1" applyFill="1" applyAlignment="1">
      <alignment shrinkToFit="1"/>
    </xf>
    <xf numFmtId="0" fontId="57" fillId="0" borderId="0" xfId="8" applyFont="1" applyAlignment="1">
      <alignment shrinkToFit="1"/>
    </xf>
    <xf numFmtId="0" fontId="49" fillId="10" borderId="61" xfId="0" applyFont="1" applyFill="1" applyBorder="1" applyAlignment="1">
      <alignment horizontal="center" vertical="center"/>
    </xf>
    <xf numFmtId="224" fontId="49" fillId="10" borderId="61" xfId="0" applyNumberFormat="1" applyFont="1" applyFill="1" applyBorder="1" applyAlignment="1">
      <alignment horizontal="center" vertical="center"/>
    </xf>
    <xf numFmtId="227" fontId="49" fillId="10" borderId="62" xfId="0" applyNumberFormat="1" applyFont="1" applyFill="1" applyBorder="1" applyAlignment="1">
      <alignment horizontal="center" vertical="center"/>
    </xf>
    <xf numFmtId="177" fontId="88" fillId="0" borderId="70" xfId="17" applyNumberFormat="1" applyFont="1" applyFill="1" applyBorder="1" applyAlignment="1">
      <alignment horizontal="center" vertical="center"/>
    </xf>
    <xf numFmtId="227" fontId="88" fillId="0" borderId="71" xfId="17" applyNumberFormat="1" applyFont="1" applyFill="1" applyBorder="1" applyAlignment="1">
      <alignment horizontal="center" vertical="center"/>
    </xf>
    <xf numFmtId="41" fontId="86" fillId="8" borderId="126" xfId="7" applyFont="1" applyFill="1" applyBorder="1" applyAlignment="1">
      <alignment horizontal="left" vertical="center" indent="1"/>
    </xf>
    <xf numFmtId="176" fontId="86" fillId="24" borderId="85" xfId="1" applyNumberFormat="1" applyFont="1" applyFill="1" applyBorder="1" applyAlignment="1">
      <alignment vertical="center"/>
    </xf>
    <xf numFmtId="176" fontId="86" fillId="8" borderId="86" xfId="1" applyNumberFormat="1" applyFont="1" applyFill="1" applyBorder="1" applyAlignment="1">
      <alignment vertical="center"/>
    </xf>
    <xf numFmtId="176" fontId="86" fillId="0" borderId="87" xfId="1" applyNumberFormat="1" applyFont="1" applyFill="1" applyBorder="1" applyAlignment="1">
      <alignment vertical="center"/>
    </xf>
    <xf numFmtId="176" fontId="86" fillId="0" borderId="86" xfId="1" applyNumberFormat="1" applyFont="1" applyFill="1" applyBorder="1" applyAlignment="1">
      <alignment vertical="center"/>
    </xf>
    <xf numFmtId="224" fontId="86" fillId="24" borderId="85" xfId="1" applyNumberFormat="1" applyFont="1" applyFill="1" applyBorder="1" applyAlignment="1">
      <alignment vertical="center"/>
    </xf>
    <xf numFmtId="224" fontId="86" fillId="0" borderId="108" xfId="1" applyNumberFormat="1" applyFont="1" applyFill="1" applyBorder="1" applyAlignment="1">
      <alignment vertical="center"/>
    </xf>
    <xf numFmtId="224" fontId="86" fillId="0" borderId="87" xfId="1" applyNumberFormat="1" applyFont="1" applyFill="1" applyBorder="1" applyAlignment="1">
      <alignment vertical="center"/>
    </xf>
    <xf numFmtId="227" fontId="86" fillId="24" borderId="126" xfId="2" applyNumberFormat="1" applyFont="1" applyFill="1" applyBorder="1" applyAlignment="1">
      <alignment horizontal="center" vertical="center"/>
    </xf>
    <xf numFmtId="227" fontId="86" fillId="0" borderId="108" xfId="2" applyNumberFormat="1" applyFont="1" applyFill="1" applyBorder="1" applyAlignment="1">
      <alignment horizontal="center" vertical="center"/>
    </xf>
    <xf numFmtId="227" fontId="86" fillId="0" borderId="87" xfId="2" applyNumberFormat="1" applyFont="1" applyFill="1" applyBorder="1" applyAlignment="1">
      <alignment horizontal="center" vertical="center"/>
    </xf>
    <xf numFmtId="41" fontId="86" fillId="8" borderId="125" xfId="7" applyFont="1" applyFill="1" applyBorder="1" applyAlignment="1">
      <alignment horizontal="left" vertical="center" indent="1"/>
    </xf>
    <xf numFmtId="176" fontId="86" fillId="24" borderId="69" xfId="1" applyNumberFormat="1" applyFont="1" applyFill="1" applyBorder="1" applyAlignment="1">
      <alignment vertical="center"/>
    </xf>
    <xf numFmtId="176" fontId="86" fillId="8" borderId="70" xfId="1" applyNumberFormat="1" applyFont="1" applyFill="1" applyBorder="1" applyAlignment="1">
      <alignment vertical="center"/>
    </xf>
    <xf numFmtId="176" fontId="86" fillId="0" borderId="71" xfId="1" applyNumberFormat="1" applyFont="1" applyFill="1" applyBorder="1" applyAlignment="1">
      <alignment vertical="center"/>
    </xf>
    <xf numFmtId="176" fontId="86" fillId="0" borderId="70" xfId="1" applyNumberFormat="1" applyFont="1" applyFill="1" applyBorder="1" applyAlignment="1">
      <alignment vertical="center"/>
    </xf>
    <xf numFmtId="224" fontId="86" fillId="24" borderId="69" xfId="1" applyNumberFormat="1" applyFont="1" applyFill="1" applyBorder="1" applyAlignment="1">
      <alignment vertical="center"/>
    </xf>
    <xf numFmtId="224" fontId="86" fillId="0" borderId="92" xfId="1" applyNumberFormat="1" applyFont="1" applyFill="1" applyBorder="1" applyAlignment="1">
      <alignment vertical="center"/>
    </xf>
    <xf numFmtId="224" fontId="86" fillId="0" borderId="71" xfId="1" applyNumberFormat="1" applyFont="1" applyFill="1" applyBorder="1" applyAlignment="1">
      <alignment vertical="center"/>
    </xf>
    <xf numFmtId="227" fontId="86" fillId="24" borderId="125" xfId="2" applyNumberFormat="1" applyFont="1" applyFill="1" applyBorder="1" applyAlignment="1">
      <alignment horizontal="center" vertical="center"/>
    </xf>
    <xf numFmtId="227" fontId="86" fillId="0" borderId="92" xfId="2" applyNumberFormat="1" applyFont="1" applyFill="1" applyBorder="1" applyAlignment="1">
      <alignment horizontal="center" vertical="center"/>
    </xf>
    <xf numFmtId="227" fontId="86" fillId="0" borderId="71" xfId="2" applyNumberFormat="1" applyFont="1" applyFill="1" applyBorder="1" applyAlignment="1">
      <alignment horizontal="center" vertical="center"/>
    </xf>
    <xf numFmtId="41" fontId="86" fillId="0" borderId="125" xfId="7" applyFont="1" applyFill="1" applyBorder="1" applyAlignment="1">
      <alignment horizontal="left" vertical="center" indent="1"/>
    </xf>
    <xf numFmtId="41" fontId="86" fillId="0" borderId="125" xfId="7" applyFont="1" applyFill="1" applyBorder="1" applyAlignment="1">
      <alignment horizontal="left" vertical="center" indent="1" shrinkToFit="1"/>
    </xf>
    <xf numFmtId="41" fontId="86" fillId="0" borderId="127" xfId="7" applyFont="1" applyFill="1" applyBorder="1" applyAlignment="1">
      <alignment horizontal="left" vertical="center" indent="1"/>
    </xf>
    <xf numFmtId="176" fontId="86" fillId="24" borderId="72" xfId="1" applyNumberFormat="1" applyFont="1" applyFill="1" applyBorder="1" applyAlignment="1">
      <alignment vertical="center"/>
    </xf>
    <xf numFmtId="176" fontId="86" fillId="0" borderId="73" xfId="1" applyNumberFormat="1" applyFont="1" applyFill="1" applyBorder="1" applyAlignment="1">
      <alignment vertical="center"/>
    </xf>
    <xf numFmtId="176" fontId="86" fillId="0" borderId="74" xfId="1" applyNumberFormat="1" applyFont="1" applyFill="1" applyBorder="1" applyAlignment="1">
      <alignment vertical="center"/>
    </xf>
    <xf numFmtId="224" fontId="86" fillId="24" borderId="72" xfId="1" applyNumberFormat="1" applyFont="1" applyFill="1" applyBorder="1" applyAlignment="1">
      <alignment vertical="center"/>
    </xf>
    <xf numFmtId="224" fontId="86" fillId="0" borderId="99" xfId="1" applyNumberFormat="1" applyFont="1" applyFill="1" applyBorder="1" applyAlignment="1">
      <alignment vertical="center"/>
    </xf>
    <xf numFmtId="224" fontId="86" fillId="0" borderId="74" xfId="1" applyNumberFormat="1" applyFont="1" applyFill="1" applyBorder="1" applyAlignment="1">
      <alignment vertical="center"/>
    </xf>
    <xf numFmtId="227" fontId="86" fillId="24" borderId="127" xfId="2" applyNumberFormat="1" applyFont="1" applyFill="1" applyBorder="1" applyAlignment="1">
      <alignment horizontal="center" vertical="center"/>
    </xf>
    <xf numFmtId="227" fontId="86" fillId="0" borderId="99" xfId="2" applyNumberFormat="1" applyFont="1" applyFill="1" applyBorder="1" applyAlignment="1">
      <alignment horizontal="center" vertical="center"/>
    </xf>
    <xf numFmtId="227" fontId="86" fillId="0" borderId="74" xfId="2" applyNumberFormat="1" applyFont="1" applyFill="1" applyBorder="1" applyAlignment="1">
      <alignment horizontal="center" vertical="center"/>
    </xf>
    <xf numFmtId="41" fontId="86" fillId="0" borderId="66" xfId="7" applyFont="1" applyFill="1" applyBorder="1" applyAlignment="1">
      <alignment horizontal="left" vertical="center" indent="1"/>
    </xf>
    <xf numFmtId="224" fontId="88" fillId="0" borderId="70" xfId="18" applyNumberFormat="1" applyFont="1" applyFill="1" applyBorder="1" applyAlignment="1">
      <alignment horizontal="right" vertical="center"/>
    </xf>
    <xf numFmtId="41" fontId="86" fillId="0" borderId="69" xfId="7" applyFont="1" applyFill="1" applyBorder="1" applyAlignment="1">
      <alignment horizontal="left" vertical="center" indent="1"/>
    </xf>
    <xf numFmtId="176" fontId="88" fillId="0" borderId="70" xfId="18" applyNumberFormat="1" applyFont="1" applyFill="1" applyBorder="1" applyAlignment="1">
      <alignment horizontal="right" vertical="center"/>
    </xf>
    <xf numFmtId="41" fontId="86" fillId="0" borderId="75" xfId="7" applyFont="1" applyFill="1" applyBorder="1" applyAlignment="1">
      <alignment horizontal="left" vertical="center" indent="1"/>
    </xf>
    <xf numFmtId="176" fontId="88" fillId="0" borderId="76" xfId="18" applyNumberFormat="1" applyFont="1" applyFill="1" applyBorder="1" applyAlignment="1">
      <alignment horizontal="right" vertical="center"/>
    </xf>
    <xf numFmtId="177" fontId="88" fillId="0" borderId="76" xfId="17" applyNumberFormat="1" applyFont="1" applyFill="1" applyBorder="1" applyAlignment="1">
      <alignment horizontal="center" vertical="center"/>
    </xf>
    <xf numFmtId="224" fontId="88" fillId="0" borderId="76" xfId="18" applyNumberFormat="1" applyFont="1" applyFill="1" applyBorder="1" applyAlignment="1">
      <alignment horizontal="right" vertical="center"/>
    </xf>
    <xf numFmtId="227" fontId="88" fillId="0" borderId="77" xfId="17" applyNumberFormat="1" applyFont="1" applyFill="1" applyBorder="1" applyAlignment="1">
      <alignment horizontal="center" vertical="center"/>
    </xf>
    <xf numFmtId="41" fontId="86" fillId="0" borderId="79" xfId="7" applyFont="1" applyFill="1" applyBorder="1" applyAlignment="1">
      <alignment horizontal="left" vertical="center" indent="1"/>
    </xf>
    <xf numFmtId="41" fontId="86" fillId="0" borderId="63" xfId="7" applyFont="1" applyFill="1" applyBorder="1" applyAlignment="1">
      <alignment horizontal="left" vertical="center" indent="1"/>
    </xf>
    <xf numFmtId="41" fontId="85" fillId="0" borderId="69" xfId="7" applyFont="1" applyFill="1" applyBorder="1" applyAlignment="1">
      <alignment horizontal="left" vertical="center" indent="1"/>
    </xf>
    <xf numFmtId="176" fontId="89" fillId="0" borderId="70" xfId="18" applyNumberFormat="1" applyFont="1" applyFill="1" applyBorder="1" applyAlignment="1">
      <alignment horizontal="right" vertical="center"/>
    </xf>
    <xf numFmtId="177" fontId="89" fillId="0" borderId="70" xfId="17" applyNumberFormat="1" applyFont="1" applyFill="1" applyBorder="1" applyAlignment="1">
      <alignment horizontal="center" vertical="center"/>
    </xf>
    <xf numFmtId="224" fontId="89" fillId="0" borderId="70" xfId="18" applyNumberFormat="1" applyFont="1" applyFill="1" applyBorder="1" applyAlignment="1">
      <alignment horizontal="right" vertical="center"/>
    </xf>
    <xf numFmtId="227" fontId="89" fillId="0" borderId="71" xfId="17" applyNumberFormat="1" applyFont="1" applyFill="1" applyBorder="1" applyAlignment="1">
      <alignment horizontal="center" vertical="center"/>
    </xf>
    <xf numFmtId="41" fontId="85" fillId="0" borderId="66" xfId="7" applyFont="1" applyFill="1" applyBorder="1" applyAlignment="1">
      <alignment horizontal="left" vertical="center" indent="1"/>
    </xf>
    <xf numFmtId="41" fontId="85" fillId="0" borderId="85" xfId="7" applyFont="1" applyFill="1" applyBorder="1" applyAlignment="1">
      <alignment horizontal="left" vertical="center" indent="1"/>
    </xf>
    <xf numFmtId="176" fontId="89" fillId="0" borderId="86" xfId="18" applyNumberFormat="1" applyFont="1" applyFill="1" applyBorder="1" applyAlignment="1">
      <alignment horizontal="right" vertical="center"/>
    </xf>
    <xf numFmtId="41" fontId="85" fillId="0" borderId="79" xfId="7" applyFont="1" applyFill="1" applyBorder="1" applyAlignment="1">
      <alignment horizontal="left" vertical="center" indent="1"/>
    </xf>
    <xf numFmtId="41" fontId="85" fillId="0" borderId="75" xfId="7" applyFont="1" applyFill="1" applyBorder="1" applyAlignment="1">
      <alignment horizontal="left" vertical="center" indent="1"/>
    </xf>
    <xf numFmtId="41" fontId="86" fillId="0" borderId="72" xfId="7" applyFont="1" applyFill="1" applyBorder="1" applyAlignment="1">
      <alignment horizontal="left" vertical="center" indent="1"/>
    </xf>
    <xf numFmtId="176" fontId="89" fillId="0" borderId="73" xfId="18" applyNumberFormat="1" applyFont="1" applyFill="1" applyBorder="1" applyAlignment="1">
      <alignment horizontal="right" vertical="center"/>
    </xf>
    <xf numFmtId="177" fontId="89" fillId="0" borderId="73" xfId="17" applyNumberFormat="1" applyFont="1" applyFill="1" applyBorder="1" applyAlignment="1">
      <alignment horizontal="center" vertical="center"/>
    </xf>
    <xf numFmtId="224" fontId="89" fillId="0" borderId="73" xfId="18" applyNumberFormat="1" applyFont="1" applyFill="1" applyBorder="1" applyAlignment="1">
      <alignment horizontal="right" vertical="center"/>
    </xf>
    <xf numFmtId="41" fontId="86" fillId="0" borderId="60" xfId="7" applyFont="1" applyFill="1" applyBorder="1" applyAlignment="1">
      <alignment horizontal="left" vertical="center" indent="1"/>
    </xf>
    <xf numFmtId="41" fontId="86" fillId="0" borderId="85" xfId="7" applyFont="1" applyFill="1" applyBorder="1" applyAlignment="1">
      <alignment horizontal="left" vertical="center" indent="1"/>
    </xf>
    <xf numFmtId="41" fontId="86" fillId="0" borderId="80" xfId="7" applyFont="1" applyFill="1" applyBorder="1" applyAlignment="1">
      <alignment horizontal="left" vertical="center" indent="1"/>
    </xf>
    <xf numFmtId="227" fontId="89" fillId="0" borderId="74" xfId="17" applyNumberFormat="1" applyFont="1" applyFill="1" applyBorder="1" applyAlignment="1">
      <alignment horizontal="center" vertical="center"/>
    </xf>
    <xf numFmtId="41" fontId="89" fillId="0" borderId="85" xfId="1" applyFont="1" applyBorder="1" applyAlignment="1">
      <alignment horizontal="left" vertical="center" indent="1"/>
    </xf>
    <xf numFmtId="177" fontId="89" fillId="0" borderId="86" xfId="17" applyNumberFormat="1" applyFont="1" applyBorder="1" applyAlignment="1">
      <alignment horizontal="center" vertical="center"/>
    </xf>
    <xf numFmtId="176" fontId="89" fillId="0" borderId="86" xfId="18" applyNumberFormat="1" applyFont="1" applyBorder="1" applyAlignment="1">
      <alignment horizontal="right" vertical="center"/>
    </xf>
    <xf numFmtId="224" fontId="89" fillId="0" borderId="86" xfId="18" applyNumberFormat="1" applyFont="1" applyBorder="1" applyAlignment="1">
      <alignment horizontal="right" vertical="center"/>
    </xf>
    <xf numFmtId="227" fontId="89" fillId="0" borderId="118" xfId="17" applyNumberFormat="1" applyFont="1" applyBorder="1" applyAlignment="1">
      <alignment horizontal="center" vertical="center"/>
    </xf>
    <xf numFmtId="41" fontId="89" fillId="0" borderId="122" xfId="7" applyFont="1" applyBorder="1" applyAlignment="1">
      <alignment horizontal="left" vertical="center" indent="1"/>
    </xf>
    <xf numFmtId="227" fontId="89" fillId="0" borderId="87" xfId="16" applyNumberFormat="1" applyFont="1" applyFill="1" applyBorder="1" applyAlignment="1">
      <alignment horizontal="center" vertical="center"/>
    </xf>
    <xf numFmtId="41" fontId="89" fillId="0" borderId="69" xfId="1" applyFont="1" applyBorder="1" applyAlignment="1">
      <alignment horizontal="left" vertical="center" indent="1"/>
    </xf>
    <xf numFmtId="177" fontId="88" fillId="0" borderId="70" xfId="16" applyNumberFormat="1" applyFont="1" applyFill="1" applyBorder="1" applyAlignment="1">
      <alignment horizontal="center" vertical="center"/>
    </xf>
    <xf numFmtId="227" fontId="88" fillId="0" borderId="119" xfId="17" applyNumberFormat="1" applyFont="1" applyFill="1" applyBorder="1" applyAlignment="1">
      <alignment horizontal="center" vertical="center"/>
    </xf>
    <xf numFmtId="41" fontId="89" fillId="0" borderId="93" xfId="7" applyFont="1" applyBorder="1" applyAlignment="1">
      <alignment horizontal="left" vertical="center" indent="1"/>
    </xf>
    <xf numFmtId="176" fontId="89" fillId="0" borderId="70" xfId="18" applyNumberFormat="1" applyFont="1" applyBorder="1" applyAlignment="1">
      <alignment horizontal="right" vertical="center"/>
    </xf>
    <xf numFmtId="41" fontId="88" fillId="0" borderId="69" xfId="1" applyFont="1" applyFill="1" applyBorder="1" applyAlignment="1">
      <alignment horizontal="left" vertical="center" indent="1"/>
    </xf>
    <xf numFmtId="41" fontId="88" fillId="0" borderId="93" xfId="7" applyFont="1" applyFill="1" applyBorder="1" applyAlignment="1">
      <alignment horizontal="left" vertical="center" indent="1"/>
    </xf>
    <xf numFmtId="41" fontId="88" fillId="0" borderId="75" xfId="1" applyFont="1" applyFill="1" applyBorder="1" applyAlignment="1">
      <alignment horizontal="left" vertical="center" indent="1"/>
    </xf>
    <xf numFmtId="177" fontId="88" fillId="0" borderId="76" xfId="16" applyNumberFormat="1" applyFont="1" applyFill="1" applyBorder="1" applyAlignment="1">
      <alignment horizontal="center" vertical="center"/>
    </xf>
    <xf numFmtId="227" fontId="88" fillId="0" borderId="120" xfId="17" applyNumberFormat="1" applyFont="1" applyFill="1" applyBorder="1" applyAlignment="1">
      <alignment horizontal="center" vertical="center"/>
    </xf>
    <xf numFmtId="41" fontId="88" fillId="0" borderId="123" xfId="7" applyFont="1" applyFill="1" applyBorder="1" applyAlignment="1">
      <alignment horizontal="left" vertical="center" indent="1"/>
    </xf>
    <xf numFmtId="41" fontId="89" fillId="0" borderId="85" xfId="7" applyFont="1" applyBorder="1" applyAlignment="1">
      <alignment horizontal="left" vertical="center" indent="1"/>
    </xf>
    <xf numFmtId="177" fontId="89" fillId="0" borderId="86" xfId="16" applyNumberFormat="1" applyFont="1" applyFill="1" applyBorder="1" applyAlignment="1">
      <alignment horizontal="center" vertical="center"/>
    </xf>
    <xf numFmtId="227" fontId="89" fillId="0" borderId="118" xfId="16" applyNumberFormat="1" applyFont="1" applyFill="1" applyBorder="1" applyAlignment="1">
      <alignment horizontal="center" vertical="center"/>
    </xf>
    <xf numFmtId="41" fontId="89" fillId="0" borderId="69" xfId="7" applyFont="1" applyFill="1" applyBorder="1" applyAlignment="1">
      <alignment horizontal="left" vertical="center" indent="1"/>
    </xf>
    <xf numFmtId="177" fontId="89" fillId="0" borderId="70" xfId="16" applyNumberFormat="1" applyFont="1" applyFill="1" applyBorder="1" applyAlignment="1">
      <alignment horizontal="center" vertical="center"/>
    </xf>
    <xf numFmtId="227" fontId="89" fillId="0" borderId="119" xfId="17" applyNumberFormat="1" applyFont="1" applyFill="1" applyBorder="1" applyAlignment="1">
      <alignment horizontal="center" vertical="center"/>
    </xf>
    <xf numFmtId="41" fontId="89" fillId="0" borderId="93" xfId="7" applyFont="1" applyFill="1" applyBorder="1" applyAlignment="1">
      <alignment horizontal="left" vertical="center" indent="1"/>
    </xf>
    <xf numFmtId="41" fontId="89" fillId="0" borderId="72" xfId="7" applyFont="1" applyFill="1" applyBorder="1" applyAlignment="1">
      <alignment horizontal="left" vertical="center" indent="1"/>
    </xf>
    <xf numFmtId="177" fontId="89" fillId="0" borderId="73" xfId="16" applyNumberFormat="1" applyFont="1" applyFill="1" applyBorder="1" applyAlignment="1">
      <alignment horizontal="center" vertical="center"/>
    </xf>
    <xf numFmtId="227" fontId="89" fillId="0" borderId="121" xfId="17" applyNumberFormat="1" applyFont="1" applyFill="1" applyBorder="1" applyAlignment="1">
      <alignment horizontal="center" vertical="center"/>
    </xf>
    <xf numFmtId="41" fontId="89" fillId="0" borderId="100" xfId="7" applyFont="1" applyFill="1" applyBorder="1" applyAlignment="1">
      <alignment horizontal="left" vertical="center" indent="1"/>
    </xf>
    <xf numFmtId="0" fontId="64" fillId="0" borderId="0" xfId="3" applyNumberFormat="1" applyFont="1">
      <alignment vertical="center"/>
    </xf>
    <xf numFmtId="0" fontId="64" fillId="0" borderId="0" xfId="3" applyNumberFormat="1" applyFont="1" applyFill="1">
      <alignment vertical="center"/>
    </xf>
    <xf numFmtId="41" fontId="64" fillId="0" borderId="0" xfId="4" applyNumberFormat="1" applyFont="1">
      <alignment vertical="center"/>
    </xf>
    <xf numFmtId="0" fontId="64" fillId="0" borderId="0" xfId="3" applyNumberFormat="1" applyFont="1" applyAlignment="1">
      <alignment horizontal="center" vertical="center"/>
    </xf>
    <xf numFmtId="176" fontId="64" fillId="0" borderId="0" xfId="4" applyNumberFormat="1" applyFont="1" applyAlignment="1">
      <alignment horizontal="right" vertical="center"/>
    </xf>
    <xf numFmtId="41" fontId="64" fillId="0" borderId="0" xfId="4" applyNumberFormat="1" applyFont="1" applyAlignment="1">
      <alignment horizontal="right" vertical="center"/>
    </xf>
    <xf numFmtId="0" fontId="64" fillId="2" borderId="4" xfId="3" applyNumberFormat="1" applyFont="1" applyFill="1" applyBorder="1" applyAlignment="1">
      <alignment horizontal="center" vertical="center"/>
    </xf>
    <xf numFmtId="0" fontId="64" fillId="2" borderId="7" xfId="3" applyNumberFormat="1" applyFont="1" applyFill="1" applyBorder="1" applyAlignment="1">
      <alignment horizontal="center" vertical="center"/>
    </xf>
    <xf numFmtId="0" fontId="64" fillId="2" borderId="8" xfId="3" applyNumberFormat="1" applyFont="1" applyFill="1" applyBorder="1" applyAlignment="1">
      <alignment horizontal="center" vertical="center"/>
    </xf>
    <xf numFmtId="0" fontId="64" fillId="2" borderId="9" xfId="3" applyNumberFormat="1" applyFont="1" applyFill="1" applyBorder="1" applyAlignment="1">
      <alignment horizontal="center" vertical="center"/>
    </xf>
    <xf numFmtId="0" fontId="96" fillId="3" borderId="14" xfId="3" applyNumberFormat="1" applyFont="1" applyFill="1" applyBorder="1">
      <alignment vertical="center"/>
    </xf>
    <xf numFmtId="0" fontId="96" fillId="3" borderId="15" xfId="3" applyNumberFormat="1" applyFont="1" applyFill="1" applyBorder="1">
      <alignment vertical="center"/>
    </xf>
    <xf numFmtId="0" fontId="96" fillId="3" borderId="16" xfId="3" applyNumberFormat="1" applyFont="1" applyFill="1" applyBorder="1">
      <alignment vertical="center"/>
    </xf>
    <xf numFmtId="41" fontId="96" fillId="3" borderId="16" xfId="4" applyNumberFormat="1" applyFont="1" applyFill="1" applyBorder="1">
      <alignment vertical="center"/>
    </xf>
    <xf numFmtId="0" fontId="96" fillId="3" borderId="16" xfId="3" applyNumberFormat="1" applyFont="1" applyFill="1" applyBorder="1" applyAlignment="1">
      <alignment horizontal="center" vertical="center"/>
    </xf>
    <xf numFmtId="176" fontId="96" fillId="3" borderId="17" xfId="4" applyNumberFormat="1" applyFont="1" applyFill="1" applyBorder="1" applyAlignment="1">
      <alignment horizontal="right" vertical="center"/>
    </xf>
    <xf numFmtId="224" fontId="96" fillId="3" borderId="17" xfId="4" applyNumberFormat="1" applyFont="1" applyFill="1" applyBorder="1" applyAlignment="1">
      <alignment horizontal="right" vertical="center"/>
    </xf>
    <xf numFmtId="227" fontId="96" fillId="3" borderId="18" xfId="4" applyNumberFormat="1" applyFont="1" applyFill="1" applyBorder="1" applyAlignment="1">
      <alignment horizontal="right" vertical="center"/>
    </xf>
    <xf numFmtId="0" fontId="64" fillId="0" borderId="19" xfId="3" applyNumberFormat="1" applyFont="1" applyBorder="1">
      <alignment vertical="center"/>
    </xf>
    <xf numFmtId="0" fontId="64" fillId="0" borderId="20" xfId="3" applyNumberFormat="1" applyFont="1" applyFill="1" applyBorder="1">
      <alignment vertical="center"/>
    </xf>
    <xf numFmtId="0" fontId="64" fillId="0" borderId="21" xfId="3" applyNumberFormat="1" applyFont="1" applyFill="1" applyBorder="1">
      <alignment vertical="center"/>
    </xf>
    <xf numFmtId="0" fontId="64" fillId="0" borderId="21" xfId="3" applyNumberFormat="1" applyFont="1" applyBorder="1">
      <alignment vertical="center"/>
    </xf>
    <xf numFmtId="41" fontId="64" fillId="0" borderId="21" xfId="4" applyNumberFormat="1" applyFont="1" applyBorder="1">
      <alignment vertical="center"/>
    </xf>
    <xf numFmtId="0" fontId="64" fillId="0" borderId="21" xfId="3" applyNumberFormat="1" applyFont="1" applyBorder="1" applyAlignment="1">
      <alignment horizontal="center" vertical="center"/>
    </xf>
    <xf numFmtId="176" fontId="64" fillId="0" borderId="22" xfId="4" applyNumberFormat="1" applyFont="1" applyBorder="1" applyAlignment="1">
      <alignment horizontal="right" vertical="center"/>
    </xf>
    <xf numFmtId="224" fontId="64" fillId="0" borderId="22" xfId="4" applyNumberFormat="1" applyFont="1" applyBorder="1" applyAlignment="1">
      <alignment horizontal="right" vertical="center"/>
    </xf>
    <xf numFmtId="227" fontId="64" fillId="0" borderId="23" xfId="3" applyNumberFormat="1" applyFont="1" applyBorder="1" applyAlignment="1">
      <alignment horizontal="right" vertical="center"/>
    </xf>
    <xf numFmtId="0" fontId="64" fillId="0" borderId="24" xfId="3" applyNumberFormat="1" applyFont="1" applyFill="1" applyBorder="1">
      <alignment vertical="center"/>
    </xf>
    <xf numFmtId="0" fontId="64" fillId="0" borderId="25" xfId="3" applyNumberFormat="1" applyFont="1" applyFill="1" applyBorder="1">
      <alignment vertical="center"/>
    </xf>
    <xf numFmtId="0" fontId="64" fillId="0" borderId="26" xfId="3" applyNumberFormat="1" applyFont="1" applyFill="1" applyBorder="1">
      <alignment vertical="center"/>
    </xf>
    <xf numFmtId="0" fontId="64" fillId="0" borderId="25" xfId="3" applyNumberFormat="1" applyFont="1" applyBorder="1">
      <alignment vertical="center"/>
    </xf>
    <xf numFmtId="41" fontId="64" fillId="0" borderId="25" xfId="4" applyNumberFormat="1" applyFont="1" applyBorder="1">
      <alignment vertical="center"/>
    </xf>
    <xf numFmtId="0" fontId="64" fillId="0" borderId="25" xfId="3" applyNumberFormat="1" applyFont="1" applyBorder="1" applyAlignment="1">
      <alignment horizontal="center" vertical="center"/>
    </xf>
    <xf numFmtId="176" fontId="64" fillId="0" borderId="27" xfId="4" applyNumberFormat="1" applyFont="1" applyBorder="1" applyAlignment="1">
      <alignment horizontal="right" vertical="center"/>
    </xf>
    <xf numFmtId="224" fontId="64" fillId="0" borderId="27" xfId="4" applyNumberFormat="1" applyFont="1" applyBorder="1" applyAlignment="1">
      <alignment horizontal="right" vertical="center"/>
    </xf>
    <xf numFmtId="227" fontId="64" fillId="0" borderId="28" xfId="3" applyNumberFormat="1" applyFont="1" applyBorder="1" applyAlignment="1">
      <alignment horizontal="right" vertical="center"/>
    </xf>
    <xf numFmtId="0" fontId="64" fillId="0" borderId="0" xfId="3" applyNumberFormat="1" applyFont="1" applyFill="1" applyBorder="1">
      <alignment vertical="center"/>
    </xf>
    <xf numFmtId="0" fontId="84" fillId="6" borderId="26" xfId="3" applyNumberFormat="1" applyFont="1" applyFill="1" applyBorder="1">
      <alignment vertical="center"/>
    </xf>
    <xf numFmtId="0" fontId="84" fillId="6" borderId="25" xfId="3" applyNumberFormat="1" applyFont="1" applyFill="1" applyBorder="1">
      <alignment vertical="center"/>
    </xf>
    <xf numFmtId="41" fontId="84" fillId="6" borderId="25" xfId="4" applyNumberFormat="1" applyFont="1" applyFill="1" applyBorder="1">
      <alignment vertical="center"/>
    </xf>
    <xf numFmtId="0" fontId="84" fillId="6" borderId="25" xfId="3" applyNumberFormat="1" applyFont="1" applyFill="1" applyBorder="1" applyAlignment="1">
      <alignment horizontal="center" vertical="center"/>
    </xf>
    <xf numFmtId="176" fontId="84" fillId="6" borderId="27" xfId="4" applyNumberFormat="1" applyFont="1" applyFill="1" applyBorder="1" applyAlignment="1">
      <alignment horizontal="right" vertical="center"/>
    </xf>
    <xf numFmtId="224" fontId="84" fillId="6" borderId="27" xfId="4" applyNumberFormat="1" applyFont="1" applyFill="1" applyBorder="1" applyAlignment="1">
      <alignment horizontal="right" vertical="center"/>
    </xf>
    <xf numFmtId="227" fontId="84" fillId="6" borderId="28" xfId="3" applyNumberFormat="1" applyFont="1" applyFill="1" applyBorder="1" applyAlignment="1">
      <alignment horizontal="right" vertical="center"/>
    </xf>
    <xf numFmtId="0" fontId="64" fillId="0" borderId="29" xfId="3" applyNumberFormat="1" applyFont="1" applyFill="1" applyBorder="1">
      <alignment vertical="center"/>
    </xf>
    <xf numFmtId="176" fontId="64" fillId="4" borderId="27" xfId="4" applyNumberFormat="1" applyFont="1" applyFill="1" applyBorder="1" applyAlignment="1">
      <alignment horizontal="right" vertical="center"/>
    </xf>
    <xf numFmtId="224" fontId="64" fillId="4" borderId="27" xfId="4" applyNumberFormat="1" applyFont="1" applyFill="1" applyBorder="1" applyAlignment="1">
      <alignment horizontal="right" vertical="center"/>
    </xf>
    <xf numFmtId="227" fontId="64" fillId="4" borderId="28" xfId="5" applyNumberFormat="1" applyFont="1" applyFill="1" applyBorder="1" applyAlignment="1">
      <alignment horizontal="right" vertical="center"/>
    </xf>
    <xf numFmtId="0" fontId="64" fillId="0" borderId="0" xfId="3" applyNumberFormat="1" applyFont="1" applyBorder="1">
      <alignment vertical="center"/>
    </xf>
    <xf numFmtId="0" fontId="64" fillId="22" borderId="0" xfId="3" applyNumberFormat="1" applyFont="1" applyFill="1" applyBorder="1">
      <alignment vertical="center"/>
    </xf>
    <xf numFmtId="41" fontId="64" fillId="22" borderId="0" xfId="4" applyNumberFormat="1" applyFont="1" applyFill="1" applyBorder="1">
      <alignment vertical="center"/>
    </xf>
    <xf numFmtId="0" fontId="64" fillId="22" borderId="0" xfId="3" applyNumberFormat="1" applyFont="1" applyFill="1" applyBorder="1" applyAlignment="1">
      <alignment horizontal="center" vertical="center"/>
    </xf>
    <xf numFmtId="178" fontId="64" fillId="22" borderId="0" xfId="3" applyNumberFormat="1" applyFont="1" applyFill="1" applyBorder="1">
      <alignment vertical="center"/>
    </xf>
    <xf numFmtId="176" fontId="64" fillId="22" borderId="24" xfId="4" applyNumberFormat="1" applyFont="1" applyFill="1" applyBorder="1" applyAlignment="1">
      <alignment horizontal="right" vertical="center"/>
    </xf>
    <xf numFmtId="224" fontId="64" fillId="22" borderId="24" xfId="4" applyNumberFormat="1" applyFont="1" applyFill="1" applyBorder="1" applyAlignment="1">
      <alignment horizontal="right" vertical="center"/>
    </xf>
    <xf numFmtId="227" fontId="64" fillId="22" borderId="30" xfId="3" applyNumberFormat="1" applyFont="1" applyFill="1" applyBorder="1" applyAlignment="1">
      <alignment horizontal="right" vertical="center"/>
    </xf>
    <xf numFmtId="0" fontId="64" fillId="0" borderId="22" xfId="3" applyNumberFormat="1" applyFont="1" applyFill="1" applyBorder="1">
      <alignment vertical="center"/>
    </xf>
    <xf numFmtId="0" fontId="64" fillId="0" borderId="0" xfId="3" applyNumberFormat="1" applyFont="1" applyBorder="1" applyAlignment="1">
      <alignment horizontal="left" vertical="center" wrapText="1" indent="1"/>
    </xf>
    <xf numFmtId="41" fontId="64" fillId="0" borderId="0" xfId="4" applyNumberFormat="1" applyFont="1" applyBorder="1" applyAlignment="1">
      <alignment vertical="center" wrapText="1"/>
    </xf>
    <xf numFmtId="179" fontId="64" fillId="0" borderId="0" xfId="3" applyNumberFormat="1" applyFont="1" applyBorder="1">
      <alignment vertical="center"/>
    </xf>
    <xf numFmtId="0" fontId="64" fillId="0" borderId="0" xfId="3" applyNumberFormat="1" applyFont="1" applyBorder="1" applyAlignment="1">
      <alignment horizontal="center" vertical="center"/>
    </xf>
    <xf numFmtId="41" fontId="64" fillId="0" borderId="0" xfId="3" applyNumberFormat="1" applyFont="1" applyBorder="1">
      <alignment vertical="center"/>
    </xf>
    <xf numFmtId="176" fontId="64" fillId="0" borderId="24" xfId="4" applyNumberFormat="1" applyFont="1" applyBorder="1" applyAlignment="1">
      <alignment horizontal="right" vertical="center"/>
    </xf>
    <xf numFmtId="224" fontId="64" fillId="0" borderId="24" xfId="4" applyNumberFormat="1" applyFont="1" applyBorder="1" applyAlignment="1">
      <alignment horizontal="right" vertical="center"/>
    </xf>
    <xf numFmtId="227" fontId="64" fillId="0" borderId="30" xfId="3" applyNumberFormat="1" applyFont="1" applyBorder="1" applyAlignment="1">
      <alignment horizontal="right" vertical="center"/>
    </xf>
    <xf numFmtId="49" fontId="64" fillId="0" borderId="0" xfId="3" applyNumberFormat="1" applyFont="1" applyFill="1" applyBorder="1">
      <alignment vertical="center"/>
    </xf>
    <xf numFmtId="41" fontId="97" fillId="0" borderId="0" xfId="4" applyNumberFormat="1" applyFont="1" applyFill="1" applyBorder="1">
      <alignment vertical="center"/>
    </xf>
    <xf numFmtId="0" fontId="97" fillId="0" borderId="0" xfId="3" applyNumberFormat="1" applyFont="1" applyFill="1" applyBorder="1">
      <alignment vertical="center"/>
    </xf>
    <xf numFmtId="0" fontId="97" fillId="0" borderId="0" xfId="3" applyNumberFormat="1" applyFont="1" applyFill="1" applyBorder="1" applyAlignment="1">
      <alignment horizontal="center" vertical="center"/>
    </xf>
    <xf numFmtId="178" fontId="39" fillId="0" borderId="0" xfId="3" applyNumberFormat="1" applyFont="1" applyFill="1" applyBorder="1">
      <alignment vertical="center"/>
    </xf>
    <xf numFmtId="49" fontId="33" fillId="0" borderId="0" xfId="3" applyNumberFormat="1" applyFont="1" applyFill="1" applyBorder="1" applyAlignment="1">
      <alignment horizontal="left" vertical="center" wrapText="1" indent="1"/>
    </xf>
    <xf numFmtId="41" fontId="33" fillId="0" borderId="0" xfId="4" applyFont="1" applyFill="1" applyBorder="1">
      <alignment vertical="center"/>
    </xf>
    <xf numFmtId="0" fontId="33" fillId="0" borderId="0" xfId="3" applyFont="1" applyFill="1" applyBorder="1">
      <alignment vertical="center"/>
    </xf>
    <xf numFmtId="180" fontId="64" fillId="0" borderId="0" xfId="3" applyNumberFormat="1" applyFont="1" applyFill="1" applyBorder="1">
      <alignment vertical="center"/>
    </xf>
    <xf numFmtId="0" fontId="33" fillId="0" borderId="0" xfId="3" applyFont="1" applyFill="1" applyBorder="1" applyAlignment="1">
      <alignment horizontal="center" vertical="center"/>
    </xf>
    <xf numFmtId="3" fontId="64" fillId="0" borderId="31" xfId="3" applyNumberFormat="1" applyFont="1" applyFill="1" applyBorder="1">
      <alignment vertical="center"/>
    </xf>
    <xf numFmtId="49" fontId="65" fillId="0" borderId="0" xfId="3" applyNumberFormat="1" applyFont="1" applyFill="1" applyBorder="1" applyAlignment="1">
      <alignment horizontal="left" vertical="center" wrapText="1" indent="1"/>
    </xf>
    <xf numFmtId="41" fontId="65" fillId="0" borderId="0" xfId="4" applyNumberFormat="1" applyFont="1" applyFill="1" applyBorder="1">
      <alignment vertical="center"/>
    </xf>
    <xf numFmtId="0" fontId="65" fillId="0" borderId="0" xfId="3" applyNumberFormat="1" applyFont="1" applyFill="1" applyBorder="1">
      <alignment vertical="center"/>
    </xf>
    <xf numFmtId="41" fontId="64" fillId="0" borderId="31" xfId="1" applyFont="1" applyFill="1" applyBorder="1">
      <alignment vertical="center"/>
    </xf>
    <xf numFmtId="0" fontId="97" fillId="0" borderId="0" xfId="3" applyNumberFormat="1" applyFont="1" applyBorder="1">
      <alignment vertical="center"/>
    </xf>
    <xf numFmtId="0" fontId="39" fillId="22" borderId="0" xfId="3" applyNumberFormat="1" applyFont="1" applyFill="1" applyBorder="1">
      <alignment vertical="center"/>
    </xf>
    <xf numFmtId="41" fontId="39" fillId="22" borderId="0" xfId="4" applyNumberFormat="1" applyFont="1" applyFill="1" applyBorder="1">
      <alignment vertical="center"/>
    </xf>
    <xf numFmtId="0" fontId="39" fillId="22" borderId="0" xfId="3" applyNumberFormat="1" applyFont="1" applyFill="1" applyBorder="1" applyAlignment="1">
      <alignment horizontal="center" vertical="center"/>
    </xf>
    <xf numFmtId="178" fontId="39" fillId="22" borderId="0" xfId="3" applyNumberFormat="1" applyFont="1" applyFill="1" applyBorder="1">
      <alignment vertical="center"/>
    </xf>
    <xf numFmtId="0" fontId="97" fillId="0" borderId="0" xfId="3" applyNumberFormat="1" applyFont="1" applyBorder="1" applyAlignment="1">
      <alignment horizontal="left" vertical="center" wrapText="1" indent="1"/>
    </xf>
    <xf numFmtId="0" fontId="39" fillId="0" borderId="0" xfId="3" applyNumberFormat="1" applyFont="1" applyBorder="1" applyAlignment="1">
      <alignment horizontal="left" vertical="center" wrapText="1" indent="1"/>
    </xf>
    <xf numFmtId="41" fontId="39" fillId="0" borderId="0" xfId="4" applyNumberFormat="1" applyFont="1" applyBorder="1" applyAlignment="1">
      <alignment vertical="center" wrapText="1"/>
    </xf>
    <xf numFmtId="0" fontId="39" fillId="0" borderId="0" xfId="3" applyNumberFormat="1" applyFont="1" applyBorder="1">
      <alignment vertical="center"/>
    </xf>
    <xf numFmtId="180" fontId="39" fillId="0" borderId="0" xfId="3" applyNumberFormat="1" applyFont="1" applyBorder="1">
      <alignment vertical="center"/>
    </xf>
    <xf numFmtId="0" fontId="39" fillId="0" borderId="0" xfId="3" applyNumberFormat="1" applyFont="1" applyBorder="1" applyAlignment="1">
      <alignment horizontal="center" vertical="center"/>
    </xf>
    <xf numFmtId="41" fontId="39" fillId="0" borderId="0" xfId="3" applyNumberFormat="1" applyFont="1" applyBorder="1">
      <alignment vertical="center"/>
    </xf>
    <xf numFmtId="0" fontId="64" fillId="0" borderId="32" xfId="3" applyNumberFormat="1" applyFont="1" applyBorder="1">
      <alignment vertical="center"/>
    </xf>
    <xf numFmtId="0" fontId="64" fillId="0" borderId="12" xfId="3" applyNumberFormat="1" applyFont="1" applyFill="1" applyBorder="1">
      <alignment vertical="center"/>
    </xf>
    <xf numFmtId="0" fontId="64" fillId="0" borderId="10" xfId="3" applyNumberFormat="1" applyFont="1" applyFill="1" applyBorder="1">
      <alignment vertical="center"/>
    </xf>
    <xf numFmtId="0" fontId="64" fillId="0" borderId="10" xfId="3" applyNumberFormat="1" applyFont="1" applyBorder="1" applyAlignment="1">
      <alignment horizontal="left" vertical="center" wrapText="1" indent="1"/>
    </xf>
    <xf numFmtId="41" fontId="64" fillId="0" borderId="10" xfId="4" applyNumberFormat="1" applyFont="1" applyBorder="1" applyAlignment="1">
      <alignment vertical="center" wrapText="1"/>
    </xf>
    <xf numFmtId="0" fontId="64" fillId="0" borderId="10" xfId="3" applyNumberFormat="1" applyFont="1" applyBorder="1">
      <alignment vertical="center"/>
    </xf>
    <xf numFmtId="179" fontId="64" fillId="0" borderId="10" xfId="3" applyNumberFormat="1" applyFont="1" applyBorder="1">
      <alignment vertical="center"/>
    </xf>
    <xf numFmtId="0" fontId="64" fillId="0" borderId="10" xfId="3" applyNumberFormat="1" applyFont="1" applyBorder="1" applyAlignment="1">
      <alignment horizontal="center" vertical="center"/>
    </xf>
    <xf numFmtId="41" fontId="64" fillId="0" borderId="10" xfId="3" applyNumberFormat="1" applyFont="1" applyBorder="1">
      <alignment vertical="center"/>
    </xf>
    <xf numFmtId="176" fontId="64" fillId="0" borderId="12" xfId="4" applyNumberFormat="1" applyFont="1" applyBorder="1" applyAlignment="1">
      <alignment horizontal="right" vertical="center"/>
    </xf>
    <xf numFmtId="224" fontId="64" fillId="0" borderId="12" xfId="4" applyNumberFormat="1" applyFont="1" applyBorder="1" applyAlignment="1">
      <alignment horizontal="right" vertical="center"/>
    </xf>
    <xf numFmtId="227" fontId="64" fillId="0" borderId="13" xfId="3" applyNumberFormat="1" applyFont="1" applyBorder="1" applyAlignment="1">
      <alignment horizontal="right" vertical="center"/>
    </xf>
    <xf numFmtId="0" fontId="39" fillId="0" borderId="10" xfId="0" applyFont="1" applyBorder="1">
      <alignment vertical="center"/>
    </xf>
    <xf numFmtId="0" fontId="39" fillId="0" borderId="10" xfId="0" applyFont="1" applyFill="1" applyBorder="1">
      <alignment vertical="center"/>
    </xf>
    <xf numFmtId="41" fontId="39" fillId="0" borderId="10" xfId="1" applyFont="1" applyBorder="1">
      <alignment vertical="center"/>
    </xf>
    <xf numFmtId="0" fontId="39" fillId="0" borderId="10" xfId="0" applyFont="1" applyBorder="1" applyAlignment="1">
      <alignment horizontal="center" vertical="center"/>
    </xf>
    <xf numFmtId="176" fontId="39" fillId="0" borderId="10" xfId="1" applyNumberFormat="1" applyFont="1" applyBorder="1" applyAlignment="1">
      <alignment horizontal="right" vertical="center"/>
    </xf>
    <xf numFmtId="41" fontId="39" fillId="0" borderId="10" xfId="1" applyFont="1" applyBorder="1" applyAlignment="1">
      <alignment horizontal="right" vertical="center"/>
    </xf>
    <xf numFmtId="0" fontId="39" fillId="2" borderId="34" xfId="0" applyFont="1" applyFill="1" applyBorder="1" applyAlignment="1">
      <alignment horizontal="center" vertical="center"/>
    </xf>
    <xf numFmtId="0" fontId="39" fillId="2" borderId="7" xfId="0" applyFont="1" applyFill="1" applyBorder="1" applyAlignment="1">
      <alignment horizontal="center" vertical="center"/>
    </xf>
    <xf numFmtId="0" fontId="39" fillId="2" borderId="8" xfId="0" applyFont="1" applyFill="1" applyBorder="1" applyAlignment="1">
      <alignment horizontal="center" vertical="center"/>
    </xf>
    <xf numFmtId="0" fontId="39" fillId="2" borderId="9" xfId="0" applyFont="1" applyFill="1" applyBorder="1" applyAlignment="1">
      <alignment horizontal="center" vertical="center"/>
    </xf>
    <xf numFmtId="0" fontId="84" fillId="6" borderId="14" xfId="0" applyFont="1" applyFill="1" applyBorder="1">
      <alignment vertical="center"/>
    </xf>
    <xf numFmtId="0" fontId="84" fillId="6" borderId="15" xfId="0" applyFont="1" applyFill="1" applyBorder="1">
      <alignment vertical="center"/>
    </xf>
    <xf numFmtId="0" fontId="84" fillId="6" borderId="16" xfId="0" applyFont="1" applyFill="1" applyBorder="1">
      <alignment vertical="center"/>
    </xf>
    <xf numFmtId="41" fontId="84" fillId="6" borderId="16" xfId="1" applyFont="1" applyFill="1" applyBorder="1">
      <alignment vertical="center"/>
    </xf>
    <xf numFmtId="0" fontId="84" fillId="6" borderId="16" xfId="0" applyFont="1" applyFill="1" applyBorder="1" applyAlignment="1">
      <alignment horizontal="center" vertical="center"/>
    </xf>
    <xf numFmtId="176" fontId="84" fillId="6" borderId="17" xfId="1" applyNumberFormat="1" applyFont="1" applyFill="1" applyBorder="1" applyAlignment="1">
      <alignment horizontal="right" vertical="center"/>
    </xf>
    <xf numFmtId="224" fontId="84" fillId="6" borderId="42" xfId="1" applyNumberFormat="1" applyFont="1" applyFill="1" applyBorder="1" applyAlignment="1">
      <alignment horizontal="right" vertical="center"/>
    </xf>
    <xf numFmtId="227" fontId="84" fillId="6" borderId="18" xfId="1" applyNumberFormat="1" applyFont="1" applyFill="1" applyBorder="1" applyAlignment="1">
      <alignment horizontal="right" vertical="center"/>
    </xf>
    <xf numFmtId="0" fontId="39" fillId="0" borderId="19" xfId="0" applyFont="1" applyBorder="1">
      <alignment vertical="center"/>
    </xf>
    <xf numFmtId="0" fontId="39" fillId="0" borderId="20" xfId="0" applyFont="1" applyFill="1" applyBorder="1">
      <alignment vertical="center"/>
    </xf>
    <xf numFmtId="0" fontId="39" fillId="0" borderId="21" xfId="0" applyFont="1" applyFill="1" applyBorder="1">
      <alignment vertical="center"/>
    </xf>
    <xf numFmtId="0" fontId="39" fillId="0" borderId="21" xfId="0" applyFont="1" applyBorder="1">
      <alignment vertical="center"/>
    </xf>
    <xf numFmtId="41" fontId="39" fillId="0" borderId="21" xfId="1" applyFont="1" applyBorder="1">
      <alignment vertical="center"/>
    </xf>
    <xf numFmtId="0" fontId="39" fillId="0" borderId="21" xfId="0" applyFont="1" applyBorder="1" applyAlignment="1">
      <alignment horizontal="center" vertical="center"/>
    </xf>
    <xf numFmtId="176" fontId="39" fillId="0" borderId="22" xfId="1" applyNumberFormat="1" applyFont="1" applyBorder="1" applyAlignment="1">
      <alignment horizontal="right" vertical="center"/>
    </xf>
    <xf numFmtId="224" fontId="39" fillId="0" borderId="22" xfId="1" applyNumberFormat="1" applyFont="1" applyBorder="1" applyAlignment="1">
      <alignment horizontal="right" vertical="center"/>
    </xf>
    <xf numFmtId="227" fontId="39" fillId="0" borderId="23" xfId="0" applyNumberFormat="1" applyFont="1" applyBorder="1" applyAlignment="1">
      <alignment horizontal="right" vertical="center"/>
    </xf>
    <xf numFmtId="0" fontId="39" fillId="0" borderId="29" xfId="0" applyFont="1" applyFill="1" applyBorder="1">
      <alignment vertical="center"/>
    </xf>
    <xf numFmtId="0" fontId="39" fillId="0" borderId="25" xfId="0" applyFont="1" applyFill="1" applyBorder="1">
      <alignment vertical="center"/>
    </xf>
    <xf numFmtId="0" fontId="39" fillId="0" borderId="25" xfId="0" applyFont="1" applyBorder="1">
      <alignment vertical="center"/>
    </xf>
    <xf numFmtId="41" fontId="39" fillId="0" borderId="25" xfId="1" applyFont="1" applyBorder="1">
      <alignment vertical="center"/>
    </xf>
    <xf numFmtId="0" fontId="39" fillId="0" borderId="25" xfId="0" applyFont="1" applyBorder="1" applyAlignment="1">
      <alignment horizontal="center" vertical="center"/>
    </xf>
    <xf numFmtId="176" fontId="39" fillId="0" borderId="27" xfId="1" applyNumberFormat="1" applyFont="1" applyBorder="1" applyAlignment="1">
      <alignment horizontal="right" vertical="center"/>
    </xf>
    <xf numFmtId="0" fontId="39" fillId="0" borderId="24" xfId="0" applyFont="1" applyFill="1" applyBorder="1">
      <alignment vertical="center"/>
    </xf>
    <xf numFmtId="0" fontId="39" fillId="0" borderId="41" xfId="0" applyFont="1" applyFill="1" applyBorder="1">
      <alignment vertical="center"/>
    </xf>
    <xf numFmtId="0" fontId="84" fillId="6" borderId="27" xfId="0" applyFont="1" applyFill="1" applyBorder="1">
      <alignment vertical="center"/>
    </xf>
    <xf numFmtId="0" fontId="84" fillId="6" borderId="25" xfId="0" applyFont="1" applyFill="1" applyBorder="1">
      <alignment vertical="center"/>
    </xf>
    <xf numFmtId="41" fontId="84" fillId="6" borderId="25" xfId="1" applyFont="1" applyFill="1" applyBorder="1">
      <alignment vertical="center"/>
    </xf>
    <xf numFmtId="0" fontId="84" fillId="6" borderId="25" xfId="0" applyFont="1" applyFill="1" applyBorder="1" applyAlignment="1">
      <alignment horizontal="center" vertical="center"/>
    </xf>
    <xf numFmtId="176" fontId="84" fillId="6" borderId="27" xfId="1" applyNumberFormat="1" applyFont="1" applyFill="1" applyBorder="1" applyAlignment="1">
      <alignment horizontal="right" vertical="center"/>
    </xf>
    <xf numFmtId="224" fontId="84" fillId="6" borderId="22" xfId="1" applyNumberFormat="1" applyFont="1" applyFill="1" applyBorder="1" applyAlignment="1">
      <alignment horizontal="right" vertical="center"/>
    </xf>
    <xf numFmtId="227" fontId="84" fillId="6" borderId="23" xfId="0" applyNumberFormat="1" applyFont="1" applyFill="1" applyBorder="1" applyAlignment="1">
      <alignment horizontal="right" vertical="center"/>
    </xf>
    <xf numFmtId="0" fontId="39" fillId="0" borderId="36" xfId="0" applyFont="1" applyFill="1" applyBorder="1">
      <alignment vertical="center"/>
    </xf>
    <xf numFmtId="0" fontId="39" fillId="7" borderId="25" xfId="0" applyFont="1" applyFill="1" applyBorder="1">
      <alignment vertical="center"/>
    </xf>
    <xf numFmtId="41" fontId="39" fillId="7" borderId="25" xfId="1" applyFont="1" applyFill="1" applyBorder="1">
      <alignment vertical="center"/>
    </xf>
    <xf numFmtId="0" fontId="39" fillId="7" borderId="25" xfId="0" applyFont="1" applyFill="1" applyBorder="1" applyAlignment="1">
      <alignment horizontal="center" vertical="center"/>
    </xf>
    <xf numFmtId="176" fontId="39" fillId="7" borderId="27" xfId="1" applyNumberFormat="1" applyFont="1" applyFill="1" applyBorder="1" applyAlignment="1">
      <alignment horizontal="right" vertical="center"/>
    </xf>
    <xf numFmtId="224" fontId="39" fillId="7" borderId="27" xfId="1" applyNumberFormat="1" applyFont="1" applyFill="1" applyBorder="1" applyAlignment="1">
      <alignment horizontal="right" vertical="center"/>
    </xf>
    <xf numFmtId="227" fontId="39" fillId="7" borderId="28" xfId="2" applyNumberFormat="1" applyFont="1" applyFill="1" applyBorder="1" applyAlignment="1">
      <alignment horizontal="right" vertical="center"/>
    </xf>
    <xf numFmtId="0" fontId="39" fillId="0" borderId="0" xfId="0" applyFont="1" applyBorder="1">
      <alignment vertical="center"/>
    </xf>
    <xf numFmtId="0" fontId="55" fillId="22" borderId="0" xfId="24" applyNumberFormat="1" applyFont="1" applyFill="1" applyBorder="1">
      <alignment vertical="center"/>
    </xf>
    <xf numFmtId="41" fontId="55" fillId="22" borderId="0" xfId="25" applyNumberFormat="1" applyFont="1" applyFill="1" applyBorder="1">
      <alignment vertical="center"/>
    </xf>
    <xf numFmtId="0" fontId="55" fillId="22" borderId="0" xfId="24" applyNumberFormat="1" applyFont="1" applyFill="1" applyBorder="1" applyAlignment="1">
      <alignment horizontal="center" vertical="center"/>
    </xf>
    <xf numFmtId="178" fontId="55" fillId="22" borderId="0" xfId="24" applyNumberFormat="1" applyFont="1" applyFill="1" applyBorder="1">
      <alignment vertical="center"/>
    </xf>
    <xf numFmtId="176" fontId="65" fillId="22" borderId="24" xfId="25" applyNumberFormat="1" applyFont="1" applyFill="1" applyBorder="1" applyAlignment="1">
      <alignment horizontal="right" vertical="center"/>
    </xf>
    <xf numFmtId="224" fontId="65" fillId="22" borderId="24" xfId="25" applyNumberFormat="1" applyFont="1" applyFill="1" applyBorder="1" applyAlignment="1">
      <alignment horizontal="right" vertical="center"/>
    </xf>
    <xf numFmtId="227" fontId="65" fillId="22" borderId="30" xfId="2" applyNumberFormat="1" applyFont="1" applyFill="1" applyBorder="1" applyAlignment="1">
      <alignment horizontal="right" vertical="center"/>
    </xf>
    <xf numFmtId="0" fontId="39" fillId="0" borderId="0" xfId="0" applyFont="1" applyBorder="1" applyAlignment="1">
      <alignment horizontal="left" vertical="center" wrapText="1" indent="1"/>
    </xf>
    <xf numFmtId="0" fontId="39" fillId="0" borderId="0" xfId="24" applyFont="1" applyFill="1" applyBorder="1" applyAlignment="1">
      <alignment horizontal="left" vertical="center" wrapText="1" indent="1"/>
    </xf>
    <xf numFmtId="41" fontId="39" fillId="0" borderId="0" xfId="25" applyFont="1" applyFill="1" applyBorder="1" applyAlignment="1">
      <alignment vertical="center" wrapText="1"/>
    </xf>
    <xf numFmtId="0" fontId="55" fillId="0" borderId="0" xfId="24" applyNumberFormat="1" applyFont="1" applyFill="1" applyBorder="1">
      <alignment vertical="center"/>
    </xf>
    <xf numFmtId="181" fontId="39" fillId="0" borderId="0" xfId="24" applyNumberFormat="1" applyFont="1" applyFill="1" applyBorder="1">
      <alignment vertical="center"/>
    </xf>
    <xf numFmtId="194" fontId="39" fillId="0" borderId="0" xfId="24" applyNumberFormat="1" applyFont="1" applyFill="1" applyBorder="1">
      <alignment vertical="center"/>
    </xf>
    <xf numFmtId="0" fontId="39" fillId="0" borderId="0" xfId="24" applyFont="1" applyFill="1" applyBorder="1">
      <alignment vertical="center"/>
    </xf>
    <xf numFmtId="182" fontId="39" fillId="0" borderId="0" xfId="24" applyNumberFormat="1" applyFont="1" applyFill="1" applyBorder="1">
      <alignment vertical="center"/>
    </xf>
    <xf numFmtId="0" fontId="55" fillId="0" borderId="0" xfId="24" applyNumberFormat="1" applyFont="1" applyFill="1" applyBorder="1" applyAlignment="1">
      <alignment horizontal="center" vertical="center"/>
    </xf>
    <xf numFmtId="41" fontId="55" fillId="0" borderId="0" xfId="24" applyNumberFormat="1" applyFont="1" applyFill="1" applyBorder="1">
      <alignment vertical="center"/>
    </xf>
    <xf numFmtId="176" fontId="65" fillId="0" borderId="24" xfId="25" applyNumberFormat="1" applyFont="1" applyFill="1" applyBorder="1" applyAlignment="1">
      <alignment horizontal="right" vertical="center"/>
    </xf>
    <xf numFmtId="224" fontId="65" fillId="0" borderId="24" xfId="25" applyNumberFormat="1" applyFont="1" applyFill="1" applyBorder="1" applyAlignment="1">
      <alignment horizontal="right" vertical="center"/>
    </xf>
    <xf numFmtId="227" fontId="65" fillId="0" borderId="30" xfId="24" applyNumberFormat="1" applyFont="1" applyFill="1" applyBorder="1" applyAlignment="1">
      <alignment horizontal="right" vertical="center"/>
    </xf>
    <xf numFmtId="0" fontId="39" fillId="0" borderId="0" xfId="24" applyFont="1" applyFill="1" applyBorder="1" applyAlignment="1">
      <alignment horizontal="center" vertical="center"/>
    </xf>
    <xf numFmtId="0" fontId="55" fillId="0" borderId="0" xfId="24" applyNumberFormat="1" applyFont="1" applyFill="1" applyBorder="1" applyAlignment="1">
      <alignment horizontal="left" vertical="center" wrapText="1" indent="1"/>
    </xf>
    <xf numFmtId="41" fontId="55" fillId="0" borderId="0" xfId="25" applyNumberFormat="1" applyFont="1" applyFill="1" applyBorder="1" applyAlignment="1">
      <alignment vertical="center"/>
    </xf>
    <xf numFmtId="0" fontId="39" fillId="22" borderId="0" xfId="24" applyFont="1" applyFill="1" applyBorder="1">
      <alignment vertical="center"/>
    </xf>
    <xf numFmtId="41" fontId="55" fillId="22" borderId="0" xfId="25" applyNumberFormat="1" applyFont="1" applyFill="1" applyBorder="1" applyAlignment="1">
      <alignment vertical="center" wrapText="1"/>
    </xf>
    <xf numFmtId="181" fontId="55" fillId="22" borderId="0" xfId="24" applyNumberFormat="1" applyFont="1" applyFill="1" applyBorder="1">
      <alignment vertical="center"/>
    </xf>
    <xf numFmtId="194" fontId="55" fillId="22" borderId="0" xfId="24" applyNumberFormat="1" applyFont="1" applyFill="1" applyBorder="1">
      <alignment vertical="center"/>
    </xf>
    <xf numFmtId="182" fontId="55" fillId="22" borderId="0" xfId="24" applyNumberFormat="1" applyFont="1" applyFill="1" applyBorder="1">
      <alignment vertical="center"/>
    </xf>
    <xf numFmtId="41" fontId="39" fillId="22" borderId="0" xfId="25" applyFont="1" applyFill="1" applyBorder="1">
      <alignment vertical="center"/>
    </xf>
    <xf numFmtId="213" fontId="39" fillId="22" borderId="0" xfId="24" applyNumberFormat="1" applyFont="1" applyFill="1" applyBorder="1">
      <alignment vertical="center"/>
    </xf>
    <xf numFmtId="0" fontId="65" fillId="22" borderId="0" xfId="24" applyNumberFormat="1" applyFont="1" applyFill="1" applyBorder="1">
      <alignment vertical="center"/>
    </xf>
    <xf numFmtId="0" fontId="39" fillId="22" borderId="0" xfId="24" applyFont="1" applyFill="1" applyBorder="1" applyAlignment="1">
      <alignment horizontal="center" vertical="center"/>
    </xf>
    <xf numFmtId="178" fontId="65" fillId="22" borderId="0" xfId="24" applyNumberFormat="1" applyFont="1" applyFill="1" applyBorder="1">
      <alignment vertical="center"/>
    </xf>
    <xf numFmtId="181" fontId="39" fillId="22" borderId="0" xfId="24" applyNumberFormat="1" applyFont="1" applyFill="1" applyBorder="1">
      <alignment vertical="center"/>
    </xf>
    <xf numFmtId="176" fontId="65" fillId="22" borderId="22" xfId="25" applyNumberFormat="1" applyFont="1" applyFill="1" applyBorder="1" applyAlignment="1">
      <alignment horizontal="right" vertical="center"/>
    </xf>
    <xf numFmtId="0" fontId="84" fillId="6" borderId="26" xfId="0" applyFont="1" applyFill="1" applyBorder="1">
      <alignment vertical="center"/>
    </xf>
    <xf numFmtId="176" fontId="84" fillId="6" borderId="22" xfId="1" applyNumberFormat="1" applyFont="1" applyFill="1" applyBorder="1" applyAlignment="1">
      <alignment horizontal="right" vertical="center"/>
    </xf>
    <xf numFmtId="41" fontId="65" fillId="22" borderId="0" xfId="25" applyNumberFormat="1" applyFont="1" applyFill="1" applyBorder="1">
      <alignment vertical="center"/>
    </xf>
    <xf numFmtId="0" fontId="65" fillId="22" borderId="0" xfId="24" applyNumberFormat="1" applyFont="1" applyFill="1" applyBorder="1" applyAlignment="1">
      <alignment horizontal="center" vertical="center"/>
    </xf>
    <xf numFmtId="227" fontId="65" fillId="22" borderId="30" xfId="24" applyNumberFormat="1" applyFont="1" applyFill="1" applyBorder="1" applyAlignment="1">
      <alignment horizontal="right" vertical="center"/>
    </xf>
    <xf numFmtId="0" fontId="65" fillId="0" borderId="0" xfId="24" applyNumberFormat="1" applyFont="1" applyFill="1" applyBorder="1" applyAlignment="1">
      <alignment horizontal="left" vertical="center" wrapText="1" indent="1"/>
    </xf>
    <xf numFmtId="187" fontId="39" fillId="0" borderId="0" xfId="24" applyNumberFormat="1" applyFont="1" applyFill="1" applyBorder="1">
      <alignment vertical="center"/>
    </xf>
    <xf numFmtId="0" fontId="65" fillId="0" borderId="0" xfId="24" applyNumberFormat="1" applyFont="1" applyBorder="1">
      <alignment vertical="center"/>
    </xf>
    <xf numFmtId="0" fontId="65" fillId="0" borderId="0" xfId="24" applyNumberFormat="1" applyFont="1" applyFill="1" applyBorder="1" applyAlignment="1">
      <alignment horizontal="center" vertical="center"/>
    </xf>
    <xf numFmtId="41" fontId="65" fillId="0" borderId="0" xfId="24" applyNumberFormat="1" applyFont="1" applyFill="1" applyBorder="1">
      <alignment vertical="center"/>
    </xf>
    <xf numFmtId="176" fontId="65" fillId="0" borderId="24" xfId="25" applyNumberFormat="1" applyFont="1" applyBorder="1" applyAlignment="1">
      <alignment horizontal="right" vertical="center"/>
    </xf>
    <xf numFmtId="224" fontId="65" fillId="0" borderId="24" xfId="25" applyNumberFormat="1" applyFont="1" applyBorder="1" applyAlignment="1">
      <alignment horizontal="right" vertical="center"/>
    </xf>
    <xf numFmtId="227" fontId="65" fillId="0" borderId="30" xfId="24" applyNumberFormat="1" applyFont="1" applyBorder="1" applyAlignment="1">
      <alignment horizontal="right" vertical="center"/>
    </xf>
    <xf numFmtId="0" fontId="65" fillId="0" borderId="0" xfId="24" applyNumberFormat="1" applyFont="1" applyBorder="1" applyAlignment="1">
      <alignment horizontal="left" vertical="center" wrapText="1" indent="1"/>
    </xf>
    <xf numFmtId="41" fontId="39" fillId="0" borderId="0" xfId="25" applyFont="1" applyBorder="1" applyAlignment="1">
      <alignment vertical="center" wrapText="1"/>
    </xf>
    <xf numFmtId="0" fontId="39" fillId="0" borderId="0" xfId="24" applyFont="1" applyBorder="1">
      <alignment vertical="center"/>
    </xf>
    <xf numFmtId="187" fontId="39" fillId="0" borderId="0" xfId="24" applyNumberFormat="1" applyFont="1" applyBorder="1">
      <alignment vertical="center"/>
    </xf>
    <xf numFmtId="0" fontId="65" fillId="0" borderId="0" xfId="24" applyNumberFormat="1" applyFont="1" applyBorder="1" applyAlignment="1">
      <alignment horizontal="center" vertical="center"/>
    </xf>
    <xf numFmtId="41" fontId="65" fillId="0" borderId="0" xfId="25" applyNumberFormat="1" applyFont="1" applyBorder="1">
      <alignment vertical="center"/>
    </xf>
    <xf numFmtId="0" fontId="39" fillId="0" borderId="22" xfId="0" applyFont="1" applyFill="1" applyBorder="1">
      <alignment vertical="center"/>
    </xf>
    <xf numFmtId="0" fontId="39" fillId="0" borderId="21" xfId="0" applyFont="1" applyBorder="1" applyAlignment="1">
      <alignment horizontal="left" vertical="center" wrapText="1" indent="1"/>
    </xf>
    <xf numFmtId="0" fontId="65" fillId="0" borderId="21" xfId="24" applyNumberFormat="1" applyFont="1" applyBorder="1" applyAlignment="1">
      <alignment horizontal="left" vertical="center" wrapText="1" indent="1"/>
    </xf>
    <xf numFmtId="41" fontId="39" fillId="0" borderId="21" xfId="25" applyFont="1" applyBorder="1" applyAlignment="1">
      <alignment vertical="center" wrapText="1"/>
    </xf>
    <xf numFmtId="0" fontId="39" fillId="0" borderId="21" xfId="24" applyFont="1" applyBorder="1">
      <alignment vertical="center"/>
    </xf>
    <xf numFmtId="180" fontId="39" fillId="0" borderId="21" xfId="24" applyNumberFormat="1" applyFont="1" applyBorder="1">
      <alignment vertical="center"/>
    </xf>
    <xf numFmtId="0" fontId="65" fillId="0" borderId="21" xfId="24" applyNumberFormat="1" applyFont="1" applyBorder="1">
      <alignment vertical="center"/>
    </xf>
    <xf numFmtId="0" fontId="65" fillId="0" borderId="21" xfId="24" applyNumberFormat="1" applyFont="1" applyBorder="1" applyAlignment="1">
      <alignment horizontal="center" vertical="center"/>
    </xf>
    <xf numFmtId="41" fontId="65" fillId="0" borderId="21" xfId="25" applyNumberFormat="1" applyFont="1" applyBorder="1">
      <alignment vertical="center"/>
    </xf>
    <xf numFmtId="176" fontId="65" fillId="0" borderId="22" xfId="25" applyNumberFormat="1" applyFont="1" applyBorder="1" applyAlignment="1">
      <alignment horizontal="right" vertical="center"/>
    </xf>
    <xf numFmtId="224" fontId="65" fillId="0" borderId="22" xfId="25" applyNumberFormat="1" applyFont="1" applyBorder="1" applyAlignment="1">
      <alignment horizontal="right" vertical="center"/>
    </xf>
    <xf numFmtId="227" fontId="65" fillId="0" borderId="23" xfId="24" applyNumberFormat="1" applyFont="1" applyBorder="1" applyAlignment="1">
      <alignment horizontal="right" vertical="center"/>
    </xf>
    <xf numFmtId="0" fontId="84" fillId="6" borderId="20" xfId="0" applyFont="1" applyFill="1" applyBorder="1">
      <alignment vertical="center"/>
    </xf>
    <xf numFmtId="0" fontId="84" fillId="6" borderId="21" xfId="0" applyFont="1" applyFill="1" applyBorder="1">
      <alignment vertical="center"/>
    </xf>
    <xf numFmtId="41" fontId="84" fillId="6" borderId="21" xfId="1" applyFont="1" applyFill="1" applyBorder="1">
      <alignment vertical="center"/>
    </xf>
    <xf numFmtId="0" fontId="84" fillId="6" borderId="21" xfId="0" applyFont="1" applyFill="1" applyBorder="1" applyAlignment="1">
      <alignment horizontal="center" vertical="center"/>
    </xf>
    <xf numFmtId="0" fontId="39" fillId="0" borderId="0" xfId="0" applyFont="1" applyFill="1" applyBorder="1">
      <alignment vertical="center"/>
    </xf>
    <xf numFmtId="193" fontId="39" fillId="0" borderId="0" xfId="24" applyNumberFormat="1" applyFont="1" applyFill="1" applyBorder="1">
      <alignment vertical="center"/>
    </xf>
    <xf numFmtId="184" fontId="39" fillId="0" borderId="0" xfId="24" applyNumberFormat="1" applyFont="1" applyFill="1" applyBorder="1">
      <alignment vertical="center"/>
    </xf>
    <xf numFmtId="41" fontId="39" fillId="0" borderId="0" xfId="25" applyFont="1" applyFill="1" applyBorder="1">
      <alignment vertical="center"/>
    </xf>
    <xf numFmtId="0" fontId="39" fillId="0" borderId="26" xfId="0" applyFont="1" applyFill="1" applyBorder="1">
      <alignment vertical="center"/>
    </xf>
    <xf numFmtId="0" fontId="39" fillId="0" borderId="43" xfId="0" applyFont="1" applyFill="1" applyBorder="1">
      <alignment vertical="center"/>
    </xf>
    <xf numFmtId="0" fontId="39" fillId="0" borderId="31" xfId="0" applyFont="1" applyFill="1" applyBorder="1">
      <alignment vertical="center"/>
    </xf>
    <xf numFmtId="0" fontId="39" fillId="0" borderId="44" xfId="0" applyFont="1" applyFill="1" applyBorder="1">
      <alignment vertical="center"/>
    </xf>
    <xf numFmtId="179" fontId="39" fillId="0" borderId="0" xfId="24" applyNumberFormat="1" applyFont="1" applyBorder="1">
      <alignment vertical="center"/>
    </xf>
    <xf numFmtId="0" fontId="39" fillId="0" borderId="0" xfId="24" applyFont="1" applyBorder="1" applyAlignment="1">
      <alignment horizontal="center" vertical="center"/>
    </xf>
    <xf numFmtId="41" fontId="39" fillId="0" borderId="0" xfId="25" applyFont="1" applyBorder="1">
      <alignment vertical="center"/>
    </xf>
    <xf numFmtId="49" fontId="39" fillId="0" borderId="0" xfId="0" applyNumberFormat="1" applyFont="1" applyFill="1" applyBorder="1">
      <alignment vertical="center"/>
    </xf>
    <xf numFmtId="41" fontId="39" fillId="0" borderId="0" xfId="4" applyNumberFormat="1" applyFont="1" applyFill="1" applyBorder="1">
      <alignment vertical="center"/>
    </xf>
    <xf numFmtId="180" fontId="39" fillId="0" borderId="0" xfId="0" applyNumberFormat="1" applyFont="1" applyFill="1" applyBorder="1">
      <alignment vertical="center"/>
    </xf>
    <xf numFmtId="0" fontId="39" fillId="0" borderId="37" xfId="0" applyFont="1" applyFill="1" applyBorder="1">
      <alignment vertical="center"/>
    </xf>
    <xf numFmtId="0" fontId="39" fillId="0" borderId="0" xfId="3" applyNumberFormat="1" applyFont="1" applyFill="1" applyBorder="1" applyAlignment="1">
      <alignment horizontal="center" vertical="center"/>
    </xf>
    <xf numFmtId="195" fontId="39" fillId="0" borderId="43" xfId="1" applyNumberFormat="1" applyFont="1" applyFill="1" applyBorder="1">
      <alignment vertical="center"/>
    </xf>
    <xf numFmtId="176" fontId="39" fillId="0" borderId="37" xfId="1" applyNumberFormat="1" applyFont="1" applyBorder="1" applyAlignment="1">
      <alignment horizontal="right" vertical="center"/>
    </xf>
    <xf numFmtId="176" fontId="39" fillId="0" borderId="29" xfId="1" applyNumberFormat="1" applyFont="1" applyBorder="1" applyAlignment="1">
      <alignment horizontal="right" vertical="center"/>
    </xf>
    <xf numFmtId="224" fontId="39" fillId="0" borderId="37" xfId="1" applyNumberFormat="1" applyFont="1" applyBorder="1" applyAlignment="1">
      <alignment horizontal="right" vertical="center"/>
    </xf>
    <xf numFmtId="227" fontId="39" fillId="0" borderId="38" xfId="0" applyNumberFormat="1" applyFont="1" applyBorder="1" applyAlignment="1">
      <alignment horizontal="right" vertical="center"/>
    </xf>
    <xf numFmtId="49" fontId="39" fillId="0" borderId="0" xfId="0" applyNumberFormat="1" applyFont="1" applyFill="1" applyBorder="1" applyAlignment="1">
      <alignment horizontal="left" vertical="center" wrapText="1" indent="1"/>
    </xf>
    <xf numFmtId="41" fontId="39" fillId="0" borderId="31" xfId="3" applyNumberFormat="1" applyFont="1" applyFill="1" applyBorder="1">
      <alignment vertical="center"/>
    </xf>
    <xf numFmtId="176" fontId="39" fillId="0" borderId="0" xfId="1" applyNumberFormat="1" applyFont="1" applyBorder="1" applyAlignment="1">
      <alignment horizontal="right" vertical="center"/>
    </xf>
    <xf numFmtId="176" fontId="39" fillId="0" borderId="24" xfId="1" applyNumberFormat="1" applyFont="1" applyBorder="1" applyAlignment="1">
      <alignment horizontal="right" vertical="center"/>
    </xf>
    <xf numFmtId="224" fontId="39" fillId="0" borderId="0" xfId="1" applyNumberFormat="1" applyFont="1" applyBorder="1" applyAlignment="1">
      <alignment horizontal="right" vertical="center"/>
    </xf>
    <xf numFmtId="227" fontId="39" fillId="0" borderId="30" xfId="0" applyNumberFormat="1" applyFont="1" applyBorder="1" applyAlignment="1">
      <alignment horizontal="right" vertical="center"/>
    </xf>
    <xf numFmtId="195" fontId="39" fillId="0" borderId="31" xfId="1" applyNumberFormat="1" applyFont="1" applyFill="1" applyBorder="1">
      <alignment vertical="center"/>
    </xf>
    <xf numFmtId="49" fontId="65" fillId="0" borderId="0" xfId="0" applyNumberFormat="1" applyFont="1" applyFill="1" applyBorder="1">
      <alignment vertical="center"/>
    </xf>
    <xf numFmtId="0" fontId="65" fillId="0" borderId="0" xfId="0" applyNumberFormat="1" applyFont="1" applyFill="1" applyBorder="1">
      <alignment vertical="center"/>
    </xf>
    <xf numFmtId="180" fontId="65" fillId="0" borderId="0" xfId="0" applyNumberFormat="1" applyFont="1" applyFill="1" applyBorder="1">
      <alignment vertical="center"/>
    </xf>
    <xf numFmtId="182" fontId="65" fillId="0" borderId="0" xfId="0" applyNumberFormat="1" applyFont="1" applyFill="1" applyBorder="1">
      <alignment vertical="center"/>
    </xf>
    <xf numFmtId="0" fontId="65" fillId="0" borderId="0" xfId="3" applyNumberFormat="1" applyFont="1" applyFill="1" applyBorder="1" applyAlignment="1">
      <alignment horizontal="center" vertical="center"/>
    </xf>
    <xf numFmtId="195" fontId="65" fillId="0" borderId="31" xfId="4" applyNumberFormat="1" applyFont="1" applyFill="1" applyBorder="1">
      <alignment vertical="center"/>
    </xf>
    <xf numFmtId="41" fontId="65" fillId="0" borderId="31" xfId="3" applyNumberFormat="1" applyFont="1" applyFill="1" applyBorder="1">
      <alignment vertical="center"/>
    </xf>
    <xf numFmtId="49" fontId="65" fillId="0" borderId="0" xfId="0" applyNumberFormat="1" applyFont="1" applyFill="1" applyBorder="1" applyAlignment="1">
      <alignment horizontal="left" vertical="center" wrapText="1" indent="1"/>
    </xf>
    <xf numFmtId="0" fontId="65" fillId="0" borderId="21" xfId="0" applyNumberFormat="1" applyFont="1" applyFill="1" applyBorder="1">
      <alignment vertical="center"/>
    </xf>
    <xf numFmtId="182" fontId="65" fillId="0" borderId="21" xfId="0" applyNumberFormat="1" applyFont="1" applyFill="1" applyBorder="1">
      <alignment vertical="center"/>
    </xf>
    <xf numFmtId="0" fontId="65" fillId="0" borderId="21" xfId="3" applyNumberFormat="1" applyFont="1" applyFill="1" applyBorder="1" applyAlignment="1">
      <alignment horizontal="center" vertical="center"/>
    </xf>
    <xf numFmtId="41" fontId="65" fillId="0" borderId="44" xfId="3" applyNumberFormat="1" applyFont="1" applyFill="1" applyBorder="1">
      <alignment vertical="center"/>
    </xf>
    <xf numFmtId="0" fontId="39" fillId="0" borderId="35" xfId="0" applyFont="1" applyBorder="1">
      <alignment vertical="center"/>
    </xf>
    <xf numFmtId="195" fontId="39" fillId="22" borderId="0" xfId="25" applyNumberFormat="1" applyFont="1" applyFill="1" applyBorder="1">
      <alignment vertical="center"/>
    </xf>
    <xf numFmtId="41" fontId="39" fillId="0" borderId="21" xfId="1" applyFont="1" applyBorder="1" applyAlignment="1">
      <alignment vertical="center" shrinkToFit="1"/>
    </xf>
    <xf numFmtId="180" fontId="39" fillId="0" borderId="21" xfId="0" applyNumberFormat="1" applyFont="1" applyBorder="1">
      <alignment vertical="center"/>
    </xf>
    <xf numFmtId="182" fontId="39" fillId="0" borderId="21" xfId="0" applyNumberFormat="1" applyFont="1" applyBorder="1">
      <alignment vertical="center"/>
    </xf>
    <xf numFmtId="224" fontId="39" fillId="0" borderId="27" xfId="1" applyNumberFormat="1" applyFont="1" applyBorder="1" applyAlignment="1">
      <alignment horizontal="right" vertical="center"/>
    </xf>
    <xf numFmtId="227" fontId="39" fillId="0" borderId="28" xfId="0" applyNumberFormat="1" applyFont="1" applyBorder="1" applyAlignment="1">
      <alignment horizontal="right" vertical="center"/>
    </xf>
    <xf numFmtId="0" fontId="39" fillId="0" borderId="32" xfId="0" applyFont="1" applyBorder="1">
      <alignment vertical="center"/>
    </xf>
    <xf numFmtId="0" fontId="39" fillId="0" borderId="12" xfId="0" applyFont="1" applyFill="1" applyBorder="1">
      <alignment vertical="center"/>
    </xf>
    <xf numFmtId="0" fontId="39" fillId="0" borderId="10" xfId="0" applyFont="1" applyBorder="1" applyAlignment="1">
      <alignment horizontal="left" vertical="center" wrapText="1" indent="1"/>
    </xf>
    <xf numFmtId="41" fontId="39" fillId="0" borderId="10" xfId="1" applyFont="1" applyBorder="1" applyAlignment="1">
      <alignment vertical="center" wrapText="1"/>
    </xf>
    <xf numFmtId="179" fontId="39" fillId="0" borderId="10" xfId="0" applyNumberFormat="1" applyFont="1" applyBorder="1">
      <alignment vertical="center"/>
    </xf>
    <xf numFmtId="182" fontId="39" fillId="0" borderId="10" xfId="0" applyNumberFormat="1" applyFont="1" applyBorder="1">
      <alignment vertical="center"/>
    </xf>
    <xf numFmtId="176" fontId="39" fillId="0" borderId="12" xfId="1" applyNumberFormat="1" applyFont="1" applyBorder="1" applyAlignment="1">
      <alignment horizontal="right" vertical="center"/>
    </xf>
    <xf numFmtId="224" fontId="39" fillId="0" borderId="12" xfId="1" applyNumberFormat="1" applyFont="1" applyBorder="1" applyAlignment="1">
      <alignment horizontal="right" vertical="center"/>
    </xf>
    <xf numFmtId="227" fontId="39" fillId="0" borderId="13" xfId="0" applyNumberFormat="1" applyFont="1" applyBorder="1" applyAlignment="1">
      <alignment horizontal="right" vertical="center"/>
    </xf>
    <xf numFmtId="176" fontId="27" fillId="0" borderId="0" xfId="1" applyNumberFormat="1" applyFont="1" applyAlignment="1">
      <alignment horizontal="right" vertical="center"/>
    </xf>
    <xf numFmtId="41" fontId="27" fillId="0" borderId="0" xfId="1" applyFont="1" applyAlignment="1">
      <alignment horizontal="right" vertical="center"/>
    </xf>
    <xf numFmtId="177" fontId="84" fillId="6" borderId="18" xfId="1" applyNumberFormat="1" applyFont="1" applyFill="1" applyBorder="1" applyAlignment="1">
      <alignment horizontal="right" vertical="center"/>
    </xf>
    <xf numFmtId="0" fontId="33" fillId="0" borderId="19" xfId="0" applyFont="1" applyBorder="1">
      <alignment vertical="center"/>
    </xf>
    <xf numFmtId="0" fontId="33" fillId="0" borderId="20" xfId="0" applyFont="1" applyFill="1" applyBorder="1">
      <alignment vertical="center"/>
    </xf>
    <xf numFmtId="0" fontId="33" fillId="0" borderId="21" xfId="0" applyFont="1" applyFill="1" applyBorder="1">
      <alignment vertical="center"/>
    </xf>
    <xf numFmtId="41" fontId="33" fillId="0" borderId="21" xfId="1" applyFont="1" applyFill="1" applyBorder="1">
      <alignment vertical="center"/>
    </xf>
    <xf numFmtId="0" fontId="33" fillId="0" borderId="21" xfId="0" applyFont="1" applyFill="1" applyBorder="1" applyAlignment="1">
      <alignment horizontal="center" vertical="center"/>
    </xf>
    <xf numFmtId="176" fontId="33" fillId="0" borderId="22" xfId="1" applyNumberFormat="1" applyFont="1" applyFill="1" applyBorder="1" applyAlignment="1">
      <alignment horizontal="right" vertical="center"/>
    </xf>
    <xf numFmtId="224" fontId="33" fillId="0" borderId="27" xfId="1" applyNumberFormat="1" applyFont="1" applyFill="1" applyBorder="1" applyAlignment="1">
      <alignment horizontal="right" vertical="center"/>
    </xf>
    <xf numFmtId="177" fontId="33" fillId="0" borderId="28" xfId="0" applyNumberFormat="1" applyFont="1" applyFill="1" applyBorder="1" applyAlignment="1">
      <alignment horizontal="right" vertical="center"/>
    </xf>
    <xf numFmtId="0" fontId="33" fillId="0" borderId="24" xfId="0" applyFont="1" applyFill="1" applyBorder="1">
      <alignment vertical="center"/>
    </xf>
    <xf numFmtId="0" fontId="33" fillId="0" borderId="25" xfId="0" applyFont="1" applyFill="1" applyBorder="1">
      <alignment vertical="center"/>
    </xf>
    <xf numFmtId="0" fontId="33" fillId="0" borderId="26" xfId="0" applyFont="1" applyFill="1" applyBorder="1">
      <alignment vertical="center"/>
    </xf>
    <xf numFmtId="41" fontId="33" fillId="0" borderId="25" xfId="1" applyFont="1" applyFill="1" applyBorder="1">
      <alignment vertical="center"/>
    </xf>
    <xf numFmtId="0" fontId="33" fillId="0" borderId="25" xfId="0" applyFont="1" applyFill="1" applyBorder="1" applyAlignment="1">
      <alignment horizontal="center" vertical="center"/>
    </xf>
    <xf numFmtId="176" fontId="33" fillId="0" borderId="27" xfId="1" applyNumberFormat="1" applyFont="1" applyFill="1" applyBorder="1" applyAlignment="1">
      <alignment horizontal="right" vertical="center"/>
    </xf>
    <xf numFmtId="0" fontId="33" fillId="0" borderId="0" xfId="0" applyFont="1" applyFill="1" applyBorder="1">
      <alignment vertical="center"/>
    </xf>
    <xf numFmtId="224" fontId="84" fillId="6" borderId="27" xfId="1" applyNumberFormat="1" applyFont="1" applyFill="1" applyBorder="1" applyAlignment="1">
      <alignment horizontal="right" vertical="center"/>
    </xf>
    <xf numFmtId="177" fontId="84" fillId="6" borderId="28" xfId="0" applyNumberFormat="1" applyFont="1" applyFill="1" applyBorder="1" applyAlignment="1">
      <alignment horizontal="right" vertical="center"/>
    </xf>
    <xf numFmtId="0" fontId="33" fillId="7" borderId="25" xfId="0" applyFont="1" applyFill="1" applyBorder="1">
      <alignment vertical="center"/>
    </xf>
    <xf numFmtId="41" fontId="33" fillId="7" borderId="25" xfId="1" applyFont="1" applyFill="1" applyBorder="1">
      <alignment vertical="center"/>
    </xf>
    <xf numFmtId="0" fontId="33" fillId="7" borderId="25" xfId="0" applyFont="1" applyFill="1" applyBorder="1" applyAlignment="1">
      <alignment horizontal="center" vertical="center"/>
    </xf>
    <xf numFmtId="177" fontId="39" fillId="7" borderId="28" xfId="2" applyNumberFormat="1" applyFont="1" applyFill="1" applyBorder="1" applyAlignment="1">
      <alignment horizontal="right" vertical="center"/>
    </xf>
    <xf numFmtId="0" fontId="33" fillId="22" borderId="0" xfId="26" applyFont="1" applyFill="1" applyBorder="1">
      <alignment vertical="center"/>
    </xf>
    <xf numFmtId="41" fontId="33" fillId="22" borderId="0" xfId="27" applyFont="1" applyFill="1" applyBorder="1">
      <alignment vertical="center"/>
    </xf>
    <xf numFmtId="0" fontId="33" fillId="22" borderId="0" xfId="26" applyFont="1" applyFill="1" applyBorder="1" applyAlignment="1">
      <alignment horizontal="center" vertical="center"/>
    </xf>
    <xf numFmtId="178" fontId="33" fillId="22" borderId="0" xfId="26" applyNumberFormat="1" applyFont="1" applyFill="1" applyBorder="1">
      <alignment vertical="center"/>
    </xf>
    <xf numFmtId="176" fontId="33" fillId="22" borderId="31" xfId="27" applyNumberFormat="1" applyFont="1" applyFill="1" applyBorder="1" applyAlignment="1">
      <alignment horizontal="right" vertical="center"/>
    </xf>
    <xf numFmtId="224" fontId="33" fillId="22" borderId="24" xfId="27" applyNumberFormat="1" applyFont="1" applyFill="1" applyBorder="1" applyAlignment="1">
      <alignment horizontal="right" vertical="center"/>
    </xf>
    <xf numFmtId="177" fontId="33" fillId="22" borderId="30" xfId="2" applyNumberFormat="1" applyFont="1" applyFill="1" applyBorder="1" applyAlignment="1">
      <alignment horizontal="right" vertical="center"/>
    </xf>
    <xf numFmtId="176" fontId="33" fillId="0" borderId="24" xfId="27" applyNumberFormat="1" applyFont="1" applyBorder="1" applyAlignment="1">
      <alignment horizontal="right" vertical="center"/>
    </xf>
    <xf numFmtId="176" fontId="33" fillId="0" borderId="31" xfId="27" applyNumberFormat="1" applyFont="1" applyBorder="1" applyAlignment="1">
      <alignment horizontal="right" vertical="center"/>
    </xf>
    <xf numFmtId="224" fontId="33" fillId="0" borderId="24" xfId="27" applyNumberFormat="1" applyFont="1" applyBorder="1" applyAlignment="1">
      <alignment horizontal="right" vertical="center"/>
    </xf>
    <xf numFmtId="0" fontId="33" fillId="0" borderId="30" xfId="26" applyFont="1" applyBorder="1" applyAlignment="1">
      <alignment horizontal="right" vertical="center"/>
    </xf>
    <xf numFmtId="41" fontId="33" fillId="0" borderId="0" xfId="1" applyFont="1" applyFill="1" applyBorder="1">
      <alignment vertical="center"/>
    </xf>
    <xf numFmtId="0" fontId="33" fillId="0" borderId="0" xfId="0" applyFont="1" applyFill="1" applyBorder="1" applyAlignment="1">
      <alignment horizontal="center" vertical="center"/>
    </xf>
    <xf numFmtId="178" fontId="33" fillId="0" borderId="0" xfId="0" applyNumberFormat="1" applyFont="1" applyBorder="1">
      <alignment vertical="center"/>
    </xf>
    <xf numFmtId="176" fontId="33" fillId="0" borderId="24" xfId="1" applyNumberFormat="1" applyFont="1" applyFill="1" applyBorder="1" applyAlignment="1">
      <alignment horizontal="right" vertical="center"/>
    </xf>
    <xf numFmtId="224" fontId="33" fillId="0" borderId="24" xfId="1" applyNumberFormat="1" applyFont="1" applyFill="1" applyBorder="1" applyAlignment="1">
      <alignment horizontal="right" vertical="center"/>
    </xf>
    <xf numFmtId="177" fontId="33" fillId="0" borderId="30" xfId="0" applyNumberFormat="1" applyFont="1" applyFill="1" applyBorder="1" applyAlignment="1">
      <alignment horizontal="right" vertical="center"/>
    </xf>
    <xf numFmtId="180" fontId="39" fillId="0" borderId="0" xfId="0" applyNumberFormat="1" applyFont="1" applyBorder="1" applyAlignment="1">
      <alignment horizontal="right" vertical="center"/>
    </xf>
    <xf numFmtId="0" fontId="39" fillId="0" borderId="0" xfId="0" applyFont="1" applyBorder="1" applyAlignment="1">
      <alignment horizontal="center" vertical="center"/>
    </xf>
    <xf numFmtId="41" fontId="33" fillId="0" borderId="0" xfId="0" applyNumberFormat="1" applyFont="1" applyFill="1" applyBorder="1">
      <alignment vertical="center"/>
    </xf>
    <xf numFmtId="180" fontId="39" fillId="0" borderId="21" xfId="0" applyNumberFormat="1" applyFont="1" applyBorder="1" applyAlignment="1">
      <alignment horizontal="right" vertical="center"/>
    </xf>
    <xf numFmtId="0" fontId="33" fillId="7" borderId="21" xfId="0" applyFont="1" applyFill="1" applyBorder="1">
      <alignment vertical="center"/>
    </xf>
    <xf numFmtId="0" fontId="39" fillId="0" borderId="21" xfId="26" applyFont="1" applyBorder="1" applyAlignment="1">
      <alignment horizontal="left" vertical="center" wrapText="1" indent="1"/>
    </xf>
    <xf numFmtId="41" fontId="39" fillId="0" borderId="21" xfId="27" applyFont="1" applyBorder="1" applyAlignment="1">
      <alignment horizontal="right" vertical="center" wrapText="1"/>
    </xf>
    <xf numFmtId="0" fontId="39" fillId="0" borderId="21" xfId="26" applyFont="1" applyBorder="1" applyAlignment="1">
      <alignment horizontal="center" vertical="center"/>
    </xf>
    <xf numFmtId="180" fontId="39" fillId="0" borderId="21" xfId="26" applyNumberFormat="1" applyFont="1" applyBorder="1" applyAlignment="1">
      <alignment horizontal="right" vertical="center"/>
    </xf>
    <xf numFmtId="0" fontId="39" fillId="0" borderId="21" xfId="26" applyFont="1" applyBorder="1" applyAlignment="1">
      <alignment horizontal="right" vertical="center"/>
    </xf>
    <xf numFmtId="182" fontId="39" fillId="0" borderId="21" xfId="26" applyNumberFormat="1" applyFont="1" applyBorder="1" applyAlignment="1">
      <alignment horizontal="right" vertical="center"/>
    </xf>
    <xf numFmtId="41" fontId="33" fillId="0" borderId="44" xfId="26" applyNumberFormat="1" applyFont="1" applyBorder="1">
      <alignment vertical="center"/>
    </xf>
    <xf numFmtId="176" fontId="33" fillId="0" borderId="22" xfId="27" applyNumberFormat="1" applyFont="1" applyBorder="1" applyAlignment="1">
      <alignment horizontal="right" vertical="center"/>
    </xf>
    <xf numFmtId="176" fontId="33" fillId="0" borderId="44" xfId="27" applyNumberFormat="1" applyFont="1" applyBorder="1" applyAlignment="1">
      <alignment horizontal="right" vertical="center"/>
    </xf>
    <xf numFmtId="224" fontId="33" fillId="0" borderId="22" xfId="27" applyNumberFormat="1" applyFont="1" applyBorder="1" applyAlignment="1">
      <alignment horizontal="right" vertical="center"/>
    </xf>
    <xf numFmtId="0" fontId="19" fillId="0" borderId="19" xfId="0" applyFont="1" applyBorder="1">
      <alignment vertical="center"/>
    </xf>
    <xf numFmtId="177" fontId="39" fillId="0" borderId="28" xfId="0" applyNumberFormat="1" applyFont="1" applyBorder="1" applyAlignment="1">
      <alignment horizontal="right" vertical="center"/>
    </xf>
    <xf numFmtId="0" fontId="19" fillId="0" borderId="32" xfId="0" applyFont="1" applyBorder="1">
      <alignment vertical="center"/>
    </xf>
    <xf numFmtId="0" fontId="19" fillId="0" borderId="12" xfId="0" applyFont="1" applyFill="1" applyBorder="1">
      <alignment vertical="center"/>
    </xf>
    <xf numFmtId="176" fontId="39" fillId="7" borderId="42" xfId="1" applyNumberFormat="1" applyFont="1" applyFill="1" applyBorder="1" applyAlignment="1">
      <alignment horizontal="right" vertical="center"/>
    </xf>
    <xf numFmtId="224" fontId="39" fillId="7" borderId="42" xfId="1" applyNumberFormat="1" applyFont="1" applyFill="1" applyBorder="1" applyAlignment="1">
      <alignment horizontal="right" vertical="center"/>
    </xf>
    <xf numFmtId="177" fontId="39" fillId="7" borderId="49" xfId="2" applyNumberFormat="1" applyFont="1" applyFill="1" applyBorder="1" applyAlignment="1">
      <alignment horizontal="right" vertical="center"/>
    </xf>
    <xf numFmtId="0" fontId="19" fillId="0" borderId="24" xfId="0" applyFont="1" applyFill="1" applyBorder="1">
      <alignment vertical="center"/>
    </xf>
    <xf numFmtId="0" fontId="33" fillId="0" borderId="0" xfId="0" applyFont="1" applyFill="1">
      <alignment vertical="center"/>
    </xf>
    <xf numFmtId="41" fontId="33" fillId="0" borderId="0" xfId="1" applyFont="1">
      <alignment vertical="center"/>
    </xf>
    <xf numFmtId="0" fontId="33" fillId="0" borderId="0" xfId="0" applyFont="1" applyAlignment="1">
      <alignment horizontal="center" vertical="center"/>
    </xf>
    <xf numFmtId="176" fontId="33" fillId="0" borderId="0" xfId="1" applyNumberFormat="1" applyFont="1" applyAlignment="1">
      <alignment horizontal="right" vertical="center"/>
    </xf>
    <xf numFmtId="41" fontId="33" fillId="0" borderId="0" xfId="1" applyFont="1" applyAlignment="1">
      <alignment horizontal="right" vertical="center"/>
    </xf>
    <xf numFmtId="0" fontId="33" fillId="0" borderId="29" xfId="0" applyFont="1" applyFill="1" applyBorder="1">
      <alignment vertical="center"/>
    </xf>
    <xf numFmtId="0" fontId="33" fillId="0" borderId="0" xfId="0" applyFont="1" applyBorder="1">
      <alignment vertical="center"/>
    </xf>
    <xf numFmtId="0" fontId="33" fillId="0" borderId="22" xfId="0" applyFont="1" applyFill="1" applyBorder="1">
      <alignment vertical="center"/>
    </xf>
    <xf numFmtId="0" fontId="33" fillId="0" borderId="0" xfId="0" applyFont="1" applyBorder="1" applyAlignment="1">
      <alignment horizontal="left" vertical="center" wrapText="1" indent="1"/>
    </xf>
    <xf numFmtId="0" fontId="33" fillId="0" borderId="0" xfId="26" applyFont="1" applyBorder="1" applyAlignment="1">
      <alignment horizontal="left" vertical="center" wrapText="1" indent="1"/>
    </xf>
    <xf numFmtId="41" fontId="33" fillId="0" borderId="0" xfId="27" applyFont="1" applyBorder="1" applyAlignment="1">
      <alignment vertical="center" wrapText="1"/>
    </xf>
    <xf numFmtId="0" fontId="33" fillId="0" borderId="0" xfId="26" applyFont="1" applyBorder="1">
      <alignment vertical="center"/>
    </xf>
    <xf numFmtId="179" fontId="33" fillId="0" borderId="0" xfId="26" applyNumberFormat="1" applyFont="1" applyBorder="1">
      <alignment vertical="center"/>
    </xf>
    <xf numFmtId="182" fontId="33" fillId="0" borderId="0" xfId="26" applyNumberFormat="1" applyFont="1" applyBorder="1">
      <alignment vertical="center"/>
    </xf>
    <xf numFmtId="0" fontId="33" fillId="0" borderId="0" xfId="26" applyFont="1" applyBorder="1" applyAlignment="1">
      <alignment horizontal="center" vertical="center"/>
    </xf>
    <xf numFmtId="41" fontId="33" fillId="0" borderId="0" xfId="26" applyNumberFormat="1" applyFont="1" applyBorder="1">
      <alignment vertical="center"/>
    </xf>
    <xf numFmtId="41" fontId="33" fillId="0" borderId="0" xfId="1" applyFont="1" applyBorder="1" applyAlignment="1">
      <alignment vertical="center" wrapText="1"/>
    </xf>
    <xf numFmtId="182" fontId="33" fillId="0" borderId="0" xfId="0" applyNumberFormat="1" applyFont="1" applyBorder="1">
      <alignment vertical="center"/>
    </xf>
    <xf numFmtId="41" fontId="33" fillId="0" borderId="0" xfId="0" applyNumberFormat="1" applyFont="1" applyBorder="1">
      <alignment vertical="center"/>
    </xf>
    <xf numFmtId="176" fontId="33" fillId="0" borderId="24" xfId="1" applyNumberFormat="1" applyFont="1" applyBorder="1" applyAlignment="1">
      <alignment horizontal="right" vertical="center"/>
    </xf>
    <xf numFmtId="224" fontId="33" fillId="0" borderId="24" xfId="1" applyNumberFormat="1" applyFont="1" applyBorder="1" applyAlignment="1">
      <alignment horizontal="right" vertical="center"/>
    </xf>
    <xf numFmtId="0" fontId="33" fillId="0" borderId="30" xfId="0" applyFont="1" applyBorder="1" applyAlignment="1">
      <alignment horizontal="right" vertical="center"/>
    </xf>
    <xf numFmtId="0" fontId="39" fillId="0" borderId="11" xfId="0" applyFont="1" applyFill="1" applyBorder="1">
      <alignment vertical="center"/>
    </xf>
    <xf numFmtId="0" fontId="39" fillId="0" borderId="42" xfId="0" applyFont="1" applyFill="1" applyBorder="1">
      <alignment vertical="center"/>
    </xf>
    <xf numFmtId="0" fontId="33" fillId="0" borderId="21" xfId="0" applyFont="1" applyBorder="1">
      <alignment vertical="center"/>
    </xf>
    <xf numFmtId="41" fontId="33" fillId="0" borderId="21" xfId="1" applyFont="1" applyBorder="1">
      <alignment vertical="center"/>
    </xf>
    <xf numFmtId="0" fontId="33" fillId="0" borderId="21" xfId="0" applyFont="1" applyBorder="1" applyAlignment="1">
      <alignment horizontal="center" vertical="center"/>
    </xf>
    <xf numFmtId="176" fontId="33" fillId="0" borderId="22" xfId="1" applyNumberFormat="1" applyFont="1" applyBorder="1" applyAlignment="1">
      <alignment horizontal="right" vertical="center"/>
    </xf>
    <xf numFmtId="224" fontId="33" fillId="0" borderId="27" xfId="1" applyNumberFormat="1" applyFont="1" applyBorder="1" applyAlignment="1">
      <alignment horizontal="right" vertical="center"/>
    </xf>
    <xf numFmtId="227" fontId="33" fillId="0" borderId="28" xfId="0" applyNumberFormat="1" applyFont="1" applyBorder="1" applyAlignment="1">
      <alignment horizontal="right" vertical="center"/>
    </xf>
    <xf numFmtId="0" fontId="33" fillId="0" borderId="25" xfId="0" applyFont="1" applyBorder="1">
      <alignment vertical="center"/>
    </xf>
    <xf numFmtId="41" fontId="33" fillId="0" borderId="25" xfId="1" applyFont="1" applyBorder="1">
      <alignment vertical="center"/>
    </xf>
    <xf numFmtId="0" fontId="33" fillId="0" borderId="25" xfId="0" applyFont="1" applyBorder="1" applyAlignment="1">
      <alignment horizontal="center" vertical="center"/>
    </xf>
    <xf numFmtId="176" fontId="33" fillId="0" borderId="27" xfId="1" applyNumberFormat="1" applyFont="1" applyBorder="1" applyAlignment="1">
      <alignment horizontal="right" vertical="center"/>
    </xf>
    <xf numFmtId="227" fontId="84" fillId="6" borderId="28" xfId="0" applyNumberFormat="1" applyFont="1" applyFill="1" applyBorder="1" applyAlignment="1">
      <alignment horizontal="right" vertical="center"/>
    </xf>
    <xf numFmtId="181" fontId="65" fillId="22" borderId="0" xfId="24" applyNumberFormat="1" applyFont="1" applyFill="1" applyBorder="1">
      <alignment vertical="center"/>
    </xf>
    <xf numFmtId="214" fontId="65" fillId="22" borderId="0" xfId="25" applyNumberFormat="1" applyFont="1" applyFill="1" applyBorder="1">
      <alignment vertical="center"/>
    </xf>
    <xf numFmtId="181" fontId="65" fillId="0" borderId="0" xfId="24" applyNumberFormat="1" applyFont="1" applyBorder="1">
      <alignment vertical="center"/>
    </xf>
    <xf numFmtId="187" fontId="65" fillId="0" borderId="0" xfId="24" applyNumberFormat="1" applyFont="1" applyBorder="1">
      <alignment vertical="center"/>
    </xf>
    <xf numFmtId="180" fontId="65" fillId="0" borderId="0" xfId="24" applyNumberFormat="1" applyFont="1" applyBorder="1">
      <alignment vertical="center"/>
    </xf>
    <xf numFmtId="194" fontId="65" fillId="0" borderId="0" xfId="24" applyNumberFormat="1" applyFont="1" applyBorder="1">
      <alignment vertical="center"/>
    </xf>
    <xf numFmtId="41" fontId="65" fillId="0" borderId="0" xfId="25" applyNumberFormat="1" applyFont="1" applyBorder="1" applyAlignment="1">
      <alignment vertical="center" wrapText="1"/>
    </xf>
    <xf numFmtId="182" fontId="65" fillId="0" borderId="0" xfId="24" applyNumberFormat="1" applyFont="1" applyBorder="1">
      <alignment vertical="center"/>
    </xf>
    <xf numFmtId="41" fontId="65" fillId="0" borderId="0" xfId="24" applyNumberFormat="1" applyFont="1" applyBorder="1">
      <alignment vertical="center"/>
    </xf>
    <xf numFmtId="179" fontId="65" fillId="0" borderId="0" xfId="24" applyNumberFormat="1" applyFont="1" applyBorder="1">
      <alignment vertical="center"/>
    </xf>
    <xf numFmtId="49" fontId="33" fillId="0" borderId="0" xfId="0" applyNumberFormat="1" applyFont="1" applyFill="1" applyBorder="1">
      <alignment vertical="center"/>
    </xf>
    <xf numFmtId="182" fontId="33" fillId="0" borderId="0" xfId="0" applyNumberFormat="1" applyFont="1" applyFill="1" applyBorder="1">
      <alignment vertical="center"/>
    </xf>
    <xf numFmtId="178" fontId="33" fillId="0" borderId="0" xfId="0" applyNumberFormat="1" applyFont="1" applyFill="1" applyBorder="1">
      <alignment vertical="center"/>
    </xf>
    <xf numFmtId="176" fontId="33" fillId="0" borderId="29" xfId="1" applyNumberFormat="1" applyFont="1" applyBorder="1" applyAlignment="1">
      <alignment horizontal="right" vertical="center"/>
    </xf>
    <xf numFmtId="224" fontId="33" fillId="0" borderId="29" xfId="1" applyNumberFormat="1" applyFont="1" applyBorder="1" applyAlignment="1">
      <alignment horizontal="right" vertical="center"/>
    </xf>
    <xf numFmtId="227" fontId="33" fillId="0" borderId="38" xfId="0" applyNumberFormat="1" applyFont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left" vertical="center" wrapText="1" indent="1"/>
    </xf>
    <xf numFmtId="227" fontId="33" fillId="0" borderId="30" xfId="0" applyNumberFormat="1" applyFont="1" applyBorder="1" applyAlignment="1">
      <alignment horizontal="right" vertical="center"/>
    </xf>
    <xf numFmtId="0" fontId="33" fillId="0" borderId="21" xfId="0" applyFont="1" applyBorder="1" applyAlignment="1">
      <alignment horizontal="left" vertical="center" wrapText="1" indent="1"/>
    </xf>
    <xf numFmtId="41" fontId="65" fillId="0" borderId="21" xfId="25" applyNumberFormat="1" applyFont="1" applyBorder="1" applyAlignment="1">
      <alignment vertical="center" wrapText="1"/>
    </xf>
    <xf numFmtId="180" fontId="65" fillId="0" borderId="21" xfId="24" applyNumberFormat="1" applyFont="1" applyBorder="1">
      <alignment vertical="center"/>
    </xf>
    <xf numFmtId="182" fontId="65" fillId="0" borderId="21" xfId="24" applyNumberFormat="1" applyFont="1" applyBorder="1">
      <alignment vertical="center"/>
    </xf>
    <xf numFmtId="41" fontId="65" fillId="0" borderId="21" xfId="24" applyNumberFormat="1" applyFont="1" applyBorder="1">
      <alignment vertical="center"/>
    </xf>
    <xf numFmtId="0" fontId="33" fillId="0" borderId="31" xfId="0" applyFont="1" applyFill="1" applyBorder="1">
      <alignment vertical="center"/>
    </xf>
    <xf numFmtId="0" fontId="33" fillId="0" borderId="32" xfId="0" applyFont="1" applyBorder="1">
      <alignment vertical="center"/>
    </xf>
    <xf numFmtId="0" fontId="33" fillId="0" borderId="12" xfId="0" applyFont="1" applyFill="1" applyBorder="1">
      <alignment vertical="center"/>
    </xf>
    <xf numFmtId="0" fontId="33" fillId="0" borderId="10" xfId="0" applyFont="1" applyFill="1" applyBorder="1">
      <alignment vertical="center"/>
    </xf>
    <xf numFmtId="0" fontId="33" fillId="0" borderId="10" xfId="0" applyFont="1" applyBorder="1" applyAlignment="1">
      <alignment horizontal="left" vertical="center" wrapText="1" indent="1"/>
    </xf>
    <xf numFmtId="0" fontId="65" fillId="0" borderId="10" xfId="24" applyNumberFormat="1" applyFont="1" applyBorder="1" applyAlignment="1">
      <alignment horizontal="left" vertical="center" wrapText="1" indent="1"/>
    </xf>
    <xf numFmtId="41" fontId="65" fillId="0" borderId="10" xfId="25" applyNumberFormat="1" applyFont="1" applyBorder="1" applyAlignment="1">
      <alignment vertical="center" wrapText="1"/>
    </xf>
    <xf numFmtId="0" fontId="65" fillId="0" borderId="10" xfId="24" applyNumberFormat="1" applyFont="1" applyBorder="1">
      <alignment vertical="center"/>
    </xf>
    <xf numFmtId="179" fontId="65" fillId="0" borderId="10" xfId="24" applyNumberFormat="1" applyFont="1" applyBorder="1">
      <alignment vertical="center"/>
    </xf>
    <xf numFmtId="182" fontId="65" fillId="0" borderId="10" xfId="24" applyNumberFormat="1" applyFont="1" applyBorder="1">
      <alignment vertical="center"/>
    </xf>
    <xf numFmtId="0" fontId="65" fillId="0" borderId="10" xfId="24" applyNumberFormat="1" applyFont="1" applyBorder="1" applyAlignment="1">
      <alignment horizontal="center" vertical="center"/>
    </xf>
    <xf numFmtId="41" fontId="65" fillId="0" borderId="10" xfId="24" applyNumberFormat="1" applyFont="1" applyBorder="1">
      <alignment vertical="center"/>
    </xf>
    <xf numFmtId="176" fontId="65" fillId="0" borderId="12" xfId="25" applyNumberFormat="1" applyFont="1" applyBorder="1" applyAlignment="1">
      <alignment horizontal="right" vertical="center"/>
    </xf>
    <xf numFmtId="224" fontId="65" fillId="0" borderId="12" xfId="25" applyNumberFormat="1" applyFont="1" applyBorder="1" applyAlignment="1">
      <alignment horizontal="right" vertical="center"/>
    </xf>
    <xf numFmtId="227" fontId="65" fillId="0" borderId="13" xfId="24" applyNumberFormat="1" applyFont="1" applyBorder="1" applyAlignment="1">
      <alignment horizontal="right" vertical="center"/>
    </xf>
    <xf numFmtId="0" fontId="65" fillId="22" borderId="0" xfId="24" applyNumberFormat="1" applyFont="1" applyFill="1" applyBorder="1" applyAlignment="1">
      <alignment vertical="center" shrinkToFit="1"/>
    </xf>
    <xf numFmtId="187" fontId="65" fillId="22" borderId="0" xfId="24" applyNumberFormat="1" applyFont="1" applyFill="1" applyBorder="1">
      <alignment vertical="center"/>
    </xf>
    <xf numFmtId="41" fontId="33" fillId="0" borderId="37" xfId="1" applyFont="1" applyBorder="1">
      <alignment vertical="center"/>
    </xf>
    <xf numFmtId="0" fontId="33" fillId="0" borderId="37" xfId="0" applyFont="1" applyBorder="1">
      <alignment vertical="center"/>
    </xf>
    <xf numFmtId="0" fontId="33" fillId="0" borderId="37" xfId="0" applyFont="1" applyBorder="1" applyAlignment="1">
      <alignment horizontal="center" vertical="center"/>
    </xf>
    <xf numFmtId="178" fontId="33" fillId="0" borderId="37" xfId="0" applyNumberFormat="1" applyFont="1" applyBorder="1">
      <alignment vertical="center"/>
    </xf>
    <xf numFmtId="0" fontId="64" fillId="0" borderId="21" xfId="3" applyNumberFormat="1" applyFont="1" applyBorder="1" applyAlignment="1">
      <alignment horizontal="left" vertical="center" wrapText="1" indent="1"/>
    </xf>
    <xf numFmtId="41" fontId="33" fillId="0" borderId="21" xfId="1" applyFont="1" applyBorder="1" applyAlignment="1">
      <alignment vertical="center" wrapText="1"/>
    </xf>
    <xf numFmtId="180" fontId="33" fillId="0" borderId="21" xfId="0" applyNumberFormat="1" applyFont="1" applyBorder="1">
      <alignment vertical="center"/>
    </xf>
    <xf numFmtId="182" fontId="33" fillId="0" borderId="21" xfId="0" applyNumberFormat="1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41" fontId="33" fillId="0" borderId="21" xfId="0" applyNumberFormat="1" applyFont="1" applyBorder="1">
      <alignment vertical="center"/>
    </xf>
    <xf numFmtId="224" fontId="33" fillId="0" borderId="22" xfId="1" applyNumberFormat="1" applyFont="1" applyBorder="1" applyAlignment="1">
      <alignment horizontal="right" vertical="center"/>
    </xf>
    <xf numFmtId="227" fontId="33" fillId="0" borderId="23" xfId="0" applyNumberFormat="1" applyFont="1" applyBorder="1" applyAlignment="1">
      <alignment horizontal="right" vertical="center"/>
    </xf>
    <xf numFmtId="0" fontId="65" fillId="0" borderId="21" xfId="0" applyNumberFormat="1" applyFont="1" applyFill="1" applyBorder="1" applyAlignment="1">
      <alignment horizontal="left" vertical="center" wrapText="1" indent="1"/>
    </xf>
    <xf numFmtId="41" fontId="65" fillId="0" borderId="21" xfId="4" applyNumberFormat="1" applyFont="1" applyFill="1" applyBorder="1" applyAlignment="1">
      <alignment vertical="center" wrapText="1"/>
    </xf>
    <xf numFmtId="224" fontId="33" fillId="7" borderId="27" xfId="1" applyNumberFormat="1" applyFont="1" applyFill="1" applyBorder="1" applyAlignment="1">
      <alignment horizontal="right" vertical="center"/>
    </xf>
    <xf numFmtId="227" fontId="33" fillId="7" borderId="28" xfId="0" applyNumberFormat="1" applyFont="1" applyFill="1" applyBorder="1" applyAlignment="1">
      <alignment horizontal="right" vertical="center"/>
    </xf>
    <xf numFmtId="0" fontId="39" fillId="0" borderId="0" xfId="0" applyFont="1">
      <alignment vertical="center"/>
    </xf>
    <xf numFmtId="0" fontId="19" fillId="0" borderId="0" xfId="0" applyFont="1" applyFill="1">
      <alignment vertical="center"/>
    </xf>
    <xf numFmtId="0" fontId="19" fillId="0" borderId="0" xfId="0" applyFont="1">
      <alignment vertical="center"/>
    </xf>
    <xf numFmtId="41" fontId="19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176" fontId="19" fillId="0" borderId="0" xfId="1" applyNumberFormat="1" applyFont="1" applyAlignment="1">
      <alignment horizontal="right" vertical="center"/>
    </xf>
    <xf numFmtId="41" fontId="19" fillId="0" borderId="0" xfId="1" applyFont="1" applyAlignment="1">
      <alignment horizontal="right" vertical="center"/>
    </xf>
    <xf numFmtId="224" fontId="84" fillId="6" borderId="17" xfId="1" applyNumberFormat="1" applyFont="1" applyFill="1" applyBorder="1" applyAlignment="1">
      <alignment horizontal="right" vertical="center"/>
    </xf>
    <xf numFmtId="177" fontId="84" fillId="6" borderId="49" xfId="0" applyNumberFormat="1" applyFont="1" applyFill="1" applyBorder="1" applyAlignment="1">
      <alignment horizontal="right" vertical="center"/>
    </xf>
    <xf numFmtId="41" fontId="39" fillId="0" borderId="21" xfId="1" applyFont="1" applyFill="1" applyBorder="1">
      <alignment vertical="center"/>
    </xf>
    <xf numFmtId="0" fontId="39" fillId="0" borderId="21" xfId="0" applyFont="1" applyFill="1" applyBorder="1" applyAlignment="1">
      <alignment horizontal="center" vertical="center"/>
    </xf>
    <xf numFmtId="176" fontId="39" fillId="0" borderId="22" xfId="1" applyNumberFormat="1" applyFont="1" applyFill="1" applyBorder="1" applyAlignment="1">
      <alignment horizontal="right" vertical="center"/>
    </xf>
    <xf numFmtId="224" fontId="39" fillId="0" borderId="27" xfId="1" applyNumberFormat="1" applyFont="1" applyFill="1" applyBorder="1" applyAlignment="1">
      <alignment horizontal="right" vertical="center"/>
    </xf>
    <xf numFmtId="177" fontId="39" fillId="0" borderId="28" xfId="0" applyNumberFormat="1" applyFont="1" applyFill="1" applyBorder="1" applyAlignment="1">
      <alignment horizontal="right" vertical="center"/>
    </xf>
    <xf numFmtId="41" fontId="39" fillId="0" borderId="25" xfId="1" applyFont="1" applyFill="1" applyBorder="1">
      <alignment vertical="center"/>
    </xf>
    <xf numFmtId="0" fontId="39" fillId="0" borderId="25" xfId="0" applyFont="1" applyFill="1" applyBorder="1" applyAlignment="1">
      <alignment horizontal="center" vertical="center"/>
    </xf>
    <xf numFmtId="176" fontId="39" fillId="0" borderId="27" xfId="1" applyNumberFormat="1" applyFont="1" applyFill="1" applyBorder="1" applyAlignment="1">
      <alignment horizontal="right" vertical="center"/>
    </xf>
    <xf numFmtId="0" fontId="19" fillId="0" borderId="0" xfId="0" applyFont="1" applyFill="1" applyBorder="1">
      <alignment vertical="center"/>
    </xf>
    <xf numFmtId="176" fontId="19" fillId="0" borderId="24" xfId="1" applyNumberFormat="1" applyFont="1" applyBorder="1" applyAlignment="1">
      <alignment horizontal="right" vertical="center"/>
    </xf>
    <xf numFmtId="224" fontId="19" fillId="0" borderId="24" xfId="1" applyNumberFormat="1" applyFont="1" applyBorder="1" applyAlignment="1">
      <alignment horizontal="right" vertical="center"/>
    </xf>
    <xf numFmtId="0" fontId="19" fillId="0" borderId="30" xfId="0" applyFont="1" applyBorder="1" applyAlignment="1">
      <alignment horizontal="right" vertical="center"/>
    </xf>
    <xf numFmtId="177" fontId="65" fillId="22" borderId="30" xfId="2" applyNumberFormat="1" applyFont="1" applyFill="1" applyBorder="1" applyAlignment="1">
      <alignment horizontal="right" vertical="center"/>
    </xf>
    <xf numFmtId="0" fontId="65" fillId="0" borderId="30" xfId="24" applyNumberFormat="1" applyFont="1" applyBorder="1" applyAlignment="1">
      <alignment horizontal="right" vertical="center"/>
    </xf>
    <xf numFmtId="0" fontId="65" fillId="22" borderId="37" xfId="24" applyNumberFormat="1" applyFont="1" applyFill="1" applyBorder="1">
      <alignment vertical="center"/>
    </xf>
    <xf numFmtId="41" fontId="65" fillId="22" borderId="37" xfId="25" applyNumberFormat="1" applyFont="1" applyFill="1" applyBorder="1">
      <alignment vertical="center"/>
    </xf>
    <xf numFmtId="0" fontId="65" fillId="22" borderId="37" xfId="24" applyNumberFormat="1" applyFont="1" applyFill="1" applyBorder="1" applyAlignment="1">
      <alignment horizontal="center" vertical="center"/>
    </xf>
    <xf numFmtId="178" fontId="65" fillId="22" borderId="37" xfId="24" applyNumberFormat="1" applyFont="1" applyFill="1" applyBorder="1">
      <alignment vertical="center"/>
    </xf>
    <xf numFmtId="176" fontId="65" fillId="22" borderId="29" xfId="25" applyNumberFormat="1" applyFont="1" applyFill="1" applyBorder="1" applyAlignment="1">
      <alignment horizontal="right" vertical="center"/>
    </xf>
    <xf numFmtId="224" fontId="65" fillId="22" borderId="29" xfId="25" applyNumberFormat="1" applyFont="1" applyFill="1" applyBorder="1" applyAlignment="1">
      <alignment horizontal="right" vertical="center"/>
    </xf>
    <xf numFmtId="177" fontId="65" fillId="22" borderId="38" xfId="2" applyNumberFormat="1" applyFont="1" applyFill="1" applyBorder="1" applyAlignment="1">
      <alignment horizontal="right" vertical="center"/>
    </xf>
    <xf numFmtId="0" fontId="65" fillId="0" borderId="23" xfId="24" applyNumberFormat="1" applyFont="1" applyBorder="1" applyAlignment="1">
      <alignment horizontal="right" vertical="center"/>
    </xf>
    <xf numFmtId="0" fontId="19" fillId="0" borderId="10" xfId="0" applyFont="1" applyFill="1" applyBorder="1">
      <alignment vertical="center"/>
    </xf>
    <xf numFmtId="0" fontId="39" fillId="0" borderId="0" xfId="0" applyFont="1" applyFill="1">
      <alignment vertical="center"/>
    </xf>
    <xf numFmtId="41" fontId="39" fillId="0" borderId="0" xfId="1" applyFont="1">
      <alignment vertical="center"/>
    </xf>
    <xf numFmtId="0" fontId="39" fillId="0" borderId="0" xfId="0" applyFont="1" applyAlignment="1">
      <alignment horizontal="center" vertical="center"/>
    </xf>
    <xf numFmtId="176" fontId="39" fillId="0" borderId="0" xfId="1" applyNumberFormat="1" applyFont="1" applyAlignment="1">
      <alignment horizontal="right" vertical="center"/>
    </xf>
    <xf numFmtId="41" fontId="39" fillId="0" borderId="0" xfId="1" applyFont="1" applyAlignment="1">
      <alignment horizontal="right" vertical="center"/>
    </xf>
    <xf numFmtId="41" fontId="39" fillId="0" borderId="0" xfId="1" applyFont="1" applyBorder="1" applyAlignment="1">
      <alignment vertical="center" wrapText="1"/>
    </xf>
    <xf numFmtId="179" fontId="39" fillId="0" borderId="0" xfId="0" applyNumberFormat="1" applyFont="1" applyBorder="1">
      <alignment vertical="center"/>
    </xf>
    <xf numFmtId="182" fontId="39" fillId="0" borderId="0" xfId="0" applyNumberFormat="1" applyFont="1" applyBorder="1">
      <alignment vertical="center"/>
    </xf>
    <xf numFmtId="41" fontId="39" fillId="0" borderId="0" xfId="0" applyNumberFormat="1" applyFont="1" applyBorder="1">
      <alignment vertical="center"/>
    </xf>
    <xf numFmtId="224" fontId="39" fillId="0" borderId="24" xfId="1" applyNumberFormat="1" applyFont="1" applyBorder="1" applyAlignment="1">
      <alignment horizontal="right" vertical="center"/>
    </xf>
    <xf numFmtId="0" fontId="39" fillId="0" borderId="30" xfId="0" applyFont="1" applyBorder="1" applyAlignment="1">
      <alignment horizontal="right" vertical="center"/>
    </xf>
    <xf numFmtId="0" fontId="39" fillId="0" borderId="19" xfId="0" applyFont="1" applyFill="1" applyBorder="1">
      <alignment vertical="center"/>
    </xf>
    <xf numFmtId="0" fontId="65" fillId="0" borderId="0" xfId="0" applyNumberFormat="1" applyFont="1" applyFill="1" applyBorder="1" applyAlignment="1">
      <alignment horizontal="center" vertical="center"/>
    </xf>
    <xf numFmtId="178" fontId="65" fillId="0" borderId="0" xfId="0" applyNumberFormat="1" applyFont="1" applyFill="1" applyBorder="1">
      <alignment vertical="center"/>
    </xf>
    <xf numFmtId="176" fontId="39" fillId="0" borderId="24" xfId="1" applyNumberFormat="1" applyFont="1" applyFill="1" applyBorder="1" applyAlignment="1">
      <alignment horizontal="right" vertical="center"/>
    </xf>
    <xf numFmtId="224" fontId="39" fillId="0" borderId="24" xfId="1" applyNumberFormat="1" applyFont="1" applyFill="1" applyBorder="1" applyAlignment="1">
      <alignment horizontal="right" vertical="center"/>
    </xf>
    <xf numFmtId="0" fontId="39" fillId="0" borderId="30" xfId="0" applyFont="1" applyFill="1" applyBorder="1" applyAlignment="1">
      <alignment horizontal="right" vertical="center"/>
    </xf>
    <xf numFmtId="0" fontId="65" fillId="0" borderId="0" xfId="0" applyNumberFormat="1" applyFont="1" applyFill="1" applyBorder="1" applyAlignment="1">
      <alignment horizontal="left" vertical="center" wrapText="1" indent="1"/>
    </xf>
    <xf numFmtId="41" fontId="65" fillId="0" borderId="0" xfId="4" applyNumberFormat="1" applyFont="1" applyFill="1" applyBorder="1" applyAlignment="1">
      <alignment vertical="center" wrapText="1"/>
    </xf>
    <xf numFmtId="41" fontId="65" fillId="0" borderId="0" xfId="0" applyNumberFormat="1" applyFont="1" applyFill="1" applyBorder="1">
      <alignment vertical="center"/>
    </xf>
    <xf numFmtId="0" fontId="33" fillId="2" borderId="34" xfId="0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/>
    </xf>
    <xf numFmtId="0" fontId="33" fillId="2" borderId="8" xfId="0" applyFont="1" applyFill="1" applyBorder="1" applyAlignment="1">
      <alignment horizontal="center" vertical="center"/>
    </xf>
    <xf numFmtId="0" fontId="33" fillId="2" borderId="9" xfId="0" applyFont="1" applyFill="1" applyBorder="1" applyAlignment="1">
      <alignment horizontal="center" vertical="center"/>
    </xf>
    <xf numFmtId="176" fontId="84" fillId="6" borderId="17" xfId="27" applyNumberFormat="1" applyFont="1" applyFill="1" applyBorder="1" applyAlignment="1">
      <alignment horizontal="right" vertical="center"/>
    </xf>
    <xf numFmtId="227" fontId="84" fillId="6" borderId="18" xfId="2" applyNumberFormat="1" applyFont="1" applyFill="1" applyBorder="1" applyAlignment="1">
      <alignment horizontal="right" vertical="center"/>
    </xf>
    <xf numFmtId="176" fontId="33" fillId="0" borderId="27" xfId="27" applyNumberFormat="1" applyFont="1" applyBorder="1" applyAlignment="1">
      <alignment horizontal="right" vertical="center"/>
    </xf>
    <xf numFmtId="176" fontId="84" fillId="6" borderId="27" xfId="27" applyNumberFormat="1" applyFont="1" applyFill="1" applyBorder="1" applyAlignment="1">
      <alignment horizontal="right" vertical="center"/>
    </xf>
    <xf numFmtId="176" fontId="39" fillId="7" borderId="27" xfId="27" applyNumberFormat="1" applyFont="1" applyFill="1" applyBorder="1" applyAlignment="1">
      <alignment horizontal="right" vertical="center"/>
    </xf>
    <xf numFmtId="0" fontId="97" fillId="0" borderId="0" xfId="0" applyFont="1" applyBorder="1">
      <alignment vertical="center"/>
    </xf>
    <xf numFmtId="0" fontId="39" fillId="22" borderId="0" xfId="26" applyFont="1" applyFill="1" applyBorder="1">
      <alignment vertical="center"/>
    </xf>
    <xf numFmtId="41" fontId="39" fillId="22" borderId="0" xfId="26" applyNumberFormat="1" applyFont="1" applyFill="1" applyBorder="1">
      <alignment vertical="center"/>
    </xf>
    <xf numFmtId="195" fontId="39" fillId="22" borderId="0" xfId="27" applyNumberFormat="1" applyFont="1" applyFill="1" applyBorder="1">
      <alignment vertical="center"/>
    </xf>
    <xf numFmtId="227" fontId="33" fillId="22" borderId="30" xfId="26" applyNumberFormat="1" applyFont="1" applyFill="1" applyBorder="1" applyAlignment="1">
      <alignment horizontal="right" vertical="center"/>
    </xf>
    <xf numFmtId="0" fontId="39" fillId="0" borderId="0" xfId="26" applyFont="1" applyFill="1" applyBorder="1">
      <alignment vertical="center"/>
    </xf>
    <xf numFmtId="41" fontId="39" fillId="0" borderId="0" xfId="27" applyFont="1" applyFill="1" applyBorder="1">
      <alignment vertical="center"/>
    </xf>
    <xf numFmtId="199" fontId="39" fillId="0" borderId="0" xfId="26" applyNumberFormat="1" applyFont="1" applyFill="1" applyBorder="1">
      <alignment vertical="center"/>
    </xf>
    <xf numFmtId="194" fontId="39" fillId="0" borderId="0" xfId="26" applyNumberFormat="1" applyFont="1" applyFill="1" applyBorder="1">
      <alignment vertical="center"/>
    </xf>
    <xf numFmtId="182" fontId="39" fillId="0" borderId="0" xfId="26" applyNumberFormat="1" applyFont="1" applyFill="1" applyBorder="1">
      <alignment vertical="center"/>
    </xf>
    <xf numFmtId="0" fontId="39" fillId="0" borderId="0" xfId="26" applyFont="1" applyFill="1" applyBorder="1" applyAlignment="1">
      <alignment horizontal="center" vertical="center"/>
    </xf>
    <xf numFmtId="3" fontId="39" fillId="0" borderId="0" xfId="27" applyNumberFormat="1" applyFont="1" applyFill="1" applyBorder="1">
      <alignment vertical="center"/>
    </xf>
    <xf numFmtId="227" fontId="33" fillId="0" borderId="30" xfId="26" applyNumberFormat="1" applyFont="1" applyBorder="1" applyAlignment="1">
      <alignment horizontal="right" vertical="center"/>
    </xf>
    <xf numFmtId="41" fontId="39" fillId="22" borderId="0" xfId="27" applyFont="1" applyFill="1" applyBorder="1">
      <alignment vertical="center"/>
    </xf>
    <xf numFmtId="176" fontId="33" fillId="22" borderId="24" xfId="27" applyNumberFormat="1" applyFont="1" applyFill="1" applyBorder="1" applyAlignment="1">
      <alignment horizontal="right" vertical="center"/>
    </xf>
    <xf numFmtId="176" fontId="97" fillId="0" borderId="24" xfId="27" applyNumberFormat="1" applyFont="1" applyBorder="1" applyAlignment="1">
      <alignment horizontal="right" vertical="center"/>
    </xf>
    <xf numFmtId="176" fontId="97" fillId="0" borderId="31" xfId="27" applyNumberFormat="1" applyFont="1" applyBorder="1" applyAlignment="1">
      <alignment horizontal="right" vertical="center"/>
    </xf>
    <xf numFmtId="224" fontId="97" fillId="0" borderId="24" xfId="27" applyNumberFormat="1" applyFont="1" applyBorder="1" applyAlignment="1">
      <alignment horizontal="right" vertical="center"/>
    </xf>
    <xf numFmtId="227" fontId="97" fillId="0" borderId="30" xfId="26" applyNumberFormat="1" applyFont="1" applyBorder="1" applyAlignment="1">
      <alignment horizontal="right" vertical="center"/>
    </xf>
    <xf numFmtId="0" fontId="33" fillId="0" borderId="36" xfId="0" applyFont="1" applyFill="1" applyBorder="1">
      <alignment vertical="center"/>
    </xf>
    <xf numFmtId="0" fontId="39" fillId="22" borderId="37" xfId="26" applyFont="1" applyFill="1" applyBorder="1">
      <alignment vertical="center"/>
    </xf>
    <xf numFmtId="41" fontId="39" fillId="22" borderId="37" xfId="27" applyFont="1" applyFill="1" applyBorder="1">
      <alignment vertical="center"/>
    </xf>
    <xf numFmtId="181" fontId="39" fillId="22" borderId="37" xfId="26" applyNumberFormat="1" applyFont="1" applyFill="1" applyBorder="1">
      <alignment vertical="center"/>
    </xf>
    <xf numFmtId="187" fontId="39" fillId="22" borderId="37" xfId="26" applyNumberFormat="1" applyFont="1" applyFill="1" applyBorder="1">
      <alignment vertical="center"/>
    </xf>
    <xf numFmtId="0" fontId="39" fillId="22" borderId="37" xfId="26" applyFont="1" applyFill="1" applyBorder="1" applyAlignment="1">
      <alignment horizontal="center" vertical="center"/>
    </xf>
    <xf numFmtId="195" fontId="39" fillId="22" borderId="43" xfId="27" applyNumberFormat="1" applyFont="1" applyFill="1" applyBorder="1">
      <alignment vertical="center"/>
    </xf>
    <xf numFmtId="176" fontId="39" fillId="22" borderId="0" xfId="27" applyNumberFormat="1" applyFont="1" applyFill="1" applyBorder="1" applyAlignment="1">
      <alignment horizontal="right" vertical="center"/>
    </xf>
    <xf numFmtId="176" fontId="39" fillId="22" borderId="24" xfId="27" applyNumberFormat="1" applyFont="1" applyFill="1" applyBorder="1" applyAlignment="1">
      <alignment horizontal="right" vertical="center"/>
    </xf>
    <xf numFmtId="224" fontId="39" fillId="22" borderId="24" xfId="27" applyNumberFormat="1" applyFont="1" applyFill="1" applyBorder="1" applyAlignment="1">
      <alignment horizontal="right" vertical="center"/>
    </xf>
    <xf numFmtId="227" fontId="39" fillId="22" borderId="30" xfId="26" applyNumberFormat="1" applyFont="1" applyFill="1" applyBorder="1" applyAlignment="1">
      <alignment horizontal="right" vertical="center"/>
    </xf>
    <xf numFmtId="191" fontId="39" fillId="22" borderId="0" xfId="26" applyNumberFormat="1" applyFont="1" applyFill="1" applyBorder="1">
      <alignment vertical="center"/>
    </xf>
    <xf numFmtId="0" fontId="39" fillId="22" borderId="0" xfId="26" applyFont="1" applyFill="1" applyBorder="1" applyAlignment="1">
      <alignment horizontal="center" vertical="center"/>
    </xf>
    <xf numFmtId="195" fontId="39" fillId="22" borderId="31" xfId="27" applyNumberFormat="1" applyFont="1" applyFill="1" applyBorder="1">
      <alignment vertical="center"/>
    </xf>
    <xf numFmtId="181" fontId="39" fillId="22" borderId="0" xfId="26" applyNumberFormat="1" applyFont="1" applyFill="1" applyBorder="1">
      <alignment vertical="center"/>
    </xf>
    <xf numFmtId="187" fontId="39" fillId="22" borderId="0" xfId="26" applyNumberFormat="1" applyFont="1" applyFill="1" applyBorder="1">
      <alignment vertical="center"/>
    </xf>
    <xf numFmtId="176" fontId="39" fillId="22" borderId="36" xfId="27" applyNumberFormat="1" applyFont="1" applyFill="1" applyBorder="1" applyAlignment="1">
      <alignment horizontal="right" vertical="center"/>
    </xf>
    <xf numFmtId="0" fontId="39" fillId="22" borderId="21" xfId="26" applyFont="1" applyFill="1" applyBorder="1">
      <alignment vertical="center"/>
    </xf>
    <xf numFmtId="41" fontId="39" fillId="22" borderId="21" xfId="27" applyFont="1" applyFill="1" applyBorder="1">
      <alignment vertical="center"/>
    </xf>
    <xf numFmtId="181" fontId="39" fillId="22" borderId="21" xfId="26" applyNumberFormat="1" applyFont="1" applyFill="1" applyBorder="1">
      <alignment vertical="center"/>
    </xf>
    <xf numFmtId="187" fontId="39" fillId="22" borderId="21" xfId="26" applyNumberFormat="1" applyFont="1" applyFill="1" applyBorder="1">
      <alignment vertical="center"/>
    </xf>
    <xf numFmtId="0" fontId="39" fillId="22" borderId="21" xfId="26" applyFont="1" applyFill="1" applyBorder="1" applyAlignment="1">
      <alignment horizontal="center" vertical="center"/>
    </xf>
    <xf numFmtId="195" fontId="39" fillId="22" borderId="44" xfId="27" applyNumberFormat="1" applyFont="1" applyFill="1" applyBorder="1">
      <alignment vertical="center"/>
    </xf>
    <xf numFmtId="176" fontId="39" fillId="22" borderId="20" xfId="27" applyNumberFormat="1" applyFont="1" applyFill="1" applyBorder="1" applyAlignment="1">
      <alignment horizontal="right" vertical="center"/>
    </xf>
    <xf numFmtId="176" fontId="39" fillId="22" borderId="22" xfId="27" applyNumberFormat="1" applyFont="1" applyFill="1" applyBorder="1" applyAlignment="1">
      <alignment horizontal="right" vertical="center"/>
    </xf>
    <xf numFmtId="0" fontId="33" fillId="22" borderId="0" xfId="0" applyFont="1" applyFill="1" applyBorder="1">
      <alignment vertical="center"/>
    </xf>
    <xf numFmtId="41" fontId="33" fillId="22" borderId="0" xfId="1" applyFont="1" applyFill="1" applyBorder="1">
      <alignment vertical="center"/>
    </xf>
    <xf numFmtId="0" fontId="33" fillId="22" borderId="0" xfId="0" applyFont="1" applyFill="1" applyBorder="1" applyAlignment="1">
      <alignment horizontal="center" vertical="center"/>
    </xf>
    <xf numFmtId="195" fontId="33" fillId="22" borderId="0" xfId="1" applyNumberFormat="1" applyFont="1" applyFill="1" applyBorder="1">
      <alignment vertical="center"/>
    </xf>
    <xf numFmtId="176" fontId="33" fillId="22" borderId="24" xfId="1" applyNumberFormat="1" applyFont="1" applyFill="1" applyBorder="1" applyAlignment="1">
      <alignment horizontal="right" vertical="center"/>
    </xf>
    <xf numFmtId="224" fontId="33" fillId="22" borderId="24" xfId="1" applyNumberFormat="1" applyFont="1" applyFill="1" applyBorder="1" applyAlignment="1">
      <alignment horizontal="right" vertical="center"/>
    </xf>
    <xf numFmtId="227" fontId="33" fillId="22" borderId="30" xfId="0" applyNumberFormat="1" applyFont="1" applyFill="1" applyBorder="1" applyAlignment="1">
      <alignment horizontal="right" vertical="center"/>
    </xf>
    <xf numFmtId="0" fontId="33" fillId="0" borderId="21" xfId="0" applyFont="1" applyFill="1" applyBorder="1" applyAlignment="1">
      <alignment horizontal="left" vertical="center" wrapText="1" indent="1"/>
    </xf>
    <xf numFmtId="41" fontId="33" fillId="0" borderId="21" xfId="27" applyFont="1" applyFill="1" applyBorder="1" applyAlignment="1">
      <alignment vertical="center" wrapText="1"/>
    </xf>
    <xf numFmtId="0" fontId="33" fillId="0" borderId="21" xfId="26" applyFont="1" applyFill="1" applyBorder="1">
      <alignment vertical="center"/>
    </xf>
    <xf numFmtId="187" fontId="33" fillId="0" borderId="21" xfId="26" applyNumberFormat="1" applyFont="1" applyFill="1" applyBorder="1" applyAlignment="1">
      <alignment horizontal="right" vertical="center"/>
    </xf>
    <xf numFmtId="182" fontId="33" fillId="0" borderId="21" xfId="26" applyNumberFormat="1" applyFont="1" applyFill="1" applyBorder="1">
      <alignment vertical="center"/>
    </xf>
    <xf numFmtId="41" fontId="33" fillId="7" borderId="21" xfId="1" applyFont="1" applyFill="1" applyBorder="1">
      <alignment vertical="center"/>
    </xf>
    <xf numFmtId="0" fontId="33" fillId="7" borderId="21" xfId="0" applyFont="1" applyFill="1" applyBorder="1" applyAlignment="1">
      <alignment horizontal="center" vertical="center"/>
    </xf>
    <xf numFmtId="176" fontId="39" fillId="7" borderId="22" xfId="1" applyNumberFormat="1" applyFont="1" applyFill="1" applyBorder="1" applyAlignment="1">
      <alignment horizontal="right" vertical="center"/>
    </xf>
    <xf numFmtId="224" fontId="39" fillId="7" borderId="22" xfId="1" applyNumberFormat="1" applyFont="1" applyFill="1" applyBorder="1" applyAlignment="1">
      <alignment horizontal="right" vertical="center"/>
    </xf>
    <xf numFmtId="227" fontId="39" fillId="7" borderId="23" xfId="2" applyNumberFormat="1" applyFont="1" applyFill="1" applyBorder="1" applyAlignment="1">
      <alignment horizontal="right" vertical="center"/>
    </xf>
    <xf numFmtId="195" fontId="33" fillId="0" borderId="0" xfId="1" applyNumberFormat="1" applyFont="1" applyFill="1" applyBorder="1">
      <alignment vertical="center"/>
    </xf>
    <xf numFmtId="41" fontId="33" fillId="0" borderId="21" xfId="1" applyFont="1" applyFill="1" applyBorder="1" applyAlignment="1">
      <alignment vertical="center" wrapText="1"/>
    </xf>
    <xf numFmtId="187" fontId="33" fillId="0" borderId="21" xfId="0" applyNumberFormat="1" applyFont="1" applyFill="1" applyBorder="1">
      <alignment vertical="center"/>
    </xf>
    <xf numFmtId="182" fontId="33" fillId="0" borderId="21" xfId="0" applyNumberFormat="1" applyFont="1" applyFill="1" applyBorder="1">
      <alignment vertical="center"/>
    </xf>
    <xf numFmtId="193" fontId="33" fillId="0" borderId="21" xfId="26" applyNumberFormat="1" applyFont="1" applyFill="1" applyBorder="1">
      <alignment vertical="center"/>
    </xf>
    <xf numFmtId="184" fontId="33" fillId="0" borderId="21" xfId="26" applyNumberFormat="1" applyFont="1" applyFill="1" applyBorder="1">
      <alignment vertical="center"/>
    </xf>
    <xf numFmtId="179" fontId="33" fillId="0" borderId="0" xfId="0" applyNumberFormat="1" applyFont="1" applyBorder="1">
      <alignment vertical="center"/>
    </xf>
    <xf numFmtId="41" fontId="33" fillId="0" borderId="0" xfId="1" applyFont="1" applyBorder="1">
      <alignment vertical="center"/>
    </xf>
    <xf numFmtId="0" fontId="97" fillId="0" borderId="37" xfId="3" applyNumberFormat="1" applyFont="1" applyBorder="1">
      <alignment vertical="center"/>
    </xf>
    <xf numFmtId="41" fontId="97" fillId="0" borderId="37" xfId="1" applyFont="1" applyBorder="1">
      <alignment vertical="center"/>
    </xf>
    <xf numFmtId="0" fontId="97" fillId="0" borderId="37" xfId="0" applyFont="1" applyBorder="1">
      <alignment vertical="center"/>
    </xf>
    <xf numFmtId="0" fontId="97" fillId="0" borderId="37" xfId="0" applyFont="1" applyBorder="1" applyAlignment="1">
      <alignment horizontal="center" vertical="center"/>
    </xf>
    <xf numFmtId="195" fontId="97" fillId="0" borderId="43" xfId="1" applyNumberFormat="1" applyFont="1" applyBorder="1">
      <alignment vertical="center"/>
    </xf>
    <xf numFmtId="176" fontId="33" fillId="0" borderId="37" xfId="1" applyNumberFormat="1" applyFont="1" applyBorder="1" applyAlignment="1">
      <alignment horizontal="right" vertical="center"/>
    </xf>
    <xf numFmtId="224" fontId="33" fillId="0" borderId="37" xfId="1" applyNumberFormat="1" applyFont="1" applyBorder="1" applyAlignment="1">
      <alignment horizontal="right" vertical="center"/>
    </xf>
    <xf numFmtId="41" fontId="97" fillId="0" borderId="0" xfId="1" applyFont="1" applyBorder="1" applyAlignment="1">
      <alignment vertical="center" wrapText="1"/>
    </xf>
    <xf numFmtId="180" fontId="97" fillId="0" borderId="0" xfId="0" applyNumberFormat="1" applyFont="1" applyBorder="1">
      <alignment vertical="center"/>
    </xf>
    <xf numFmtId="182" fontId="97" fillId="0" borderId="0" xfId="0" applyNumberFormat="1" applyFont="1" applyBorder="1">
      <alignment vertical="center"/>
    </xf>
    <xf numFmtId="0" fontId="97" fillId="0" borderId="0" xfId="0" applyFont="1" applyBorder="1" applyAlignment="1">
      <alignment horizontal="center" vertical="center"/>
    </xf>
    <xf numFmtId="41" fontId="97" fillId="0" borderId="31" xfId="1" applyFont="1" applyBorder="1">
      <alignment vertical="center"/>
    </xf>
    <xf numFmtId="176" fontId="33" fillId="0" borderId="0" xfId="1" applyNumberFormat="1" applyFont="1" applyBorder="1" applyAlignment="1">
      <alignment horizontal="right" vertical="center"/>
    </xf>
    <xf numFmtId="224" fontId="33" fillId="0" borderId="0" xfId="1" applyNumberFormat="1" applyFont="1" applyBorder="1" applyAlignment="1">
      <alignment horizontal="right" vertical="center"/>
    </xf>
    <xf numFmtId="0" fontId="97" fillId="0" borderId="21" xfId="3" applyNumberFormat="1" applyFont="1" applyBorder="1" applyAlignment="1">
      <alignment horizontal="left" vertical="center" wrapText="1" indent="1"/>
    </xf>
    <xf numFmtId="41" fontId="97" fillId="0" borderId="21" xfId="1" applyFont="1" applyBorder="1" applyAlignment="1">
      <alignment vertical="center" wrapText="1"/>
    </xf>
    <xf numFmtId="0" fontId="97" fillId="0" borderId="21" xfId="0" applyFont="1" applyBorder="1">
      <alignment vertical="center"/>
    </xf>
    <xf numFmtId="180" fontId="97" fillId="0" borderId="21" xfId="0" applyNumberFormat="1" applyFont="1" applyBorder="1">
      <alignment vertical="center"/>
    </xf>
    <xf numFmtId="182" fontId="97" fillId="0" borderId="21" xfId="0" applyNumberFormat="1" applyFont="1" applyBorder="1">
      <alignment vertical="center"/>
    </xf>
    <xf numFmtId="0" fontId="97" fillId="0" borderId="21" xfId="0" applyFont="1" applyBorder="1" applyAlignment="1">
      <alignment horizontal="center" vertical="center"/>
    </xf>
    <xf numFmtId="41" fontId="97" fillId="0" borderId="44" xfId="1" applyFont="1" applyBorder="1">
      <alignment vertical="center"/>
    </xf>
    <xf numFmtId="176" fontId="33" fillId="0" borderId="21" xfId="1" applyNumberFormat="1" applyFont="1" applyBorder="1" applyAlignment="1">
      <alignment horizontal="right" vertical="center"/>
    </xf>
    <xf numFmtId="224" fontId="33" fillId="0" borderId="21" xfId="1" applyNumberFormat="1" applyFont="1" applyBorder="1" applyAlignment="1">
      <alignment horizontal="right" vertical="center"/>
    </xf>
    <xf numFmtId="195" fontId="97" fillId="0" borderId="37" xfId="1" applyNumberFormat="1" applyFont="1" applyBorder="1">
      <alignment vertical="center"/>
    </xf>
    <xf numFmtId="41" fontId="97" fillId="0" borderId="21" xfId="1" applyFont="1" applyBorder="1">
      <alignment vertical="center"/>
    </xf>
    <xf numFmtId="0" fontId="33" fillId="22" borderId="37" xfId="0" applyFont="1" applyFill="1" applyBorder="1">
      <alignment vertical="center"/>
    </xf>
    <xf numFmtId="41" fontId="33" fillId="22" borderId="37" xfId="1" applyFont="1" applyFill="1" applyBorder="1">
      <alignment vertical="center"/>
    </xf>
    <xf numFmtId="0" fontId="33" fillId="22" borderId="37" xfId="0" applyFont="1" applyFill="1" applyBorder="1" applyAlignment="1">
      <alignment horizontal="center" vertical="center"/>
    </xf>
    <xf numFmtId="195" fontId="33" fillId="22" borderId="37" xfId="1" applyNumberFormat="1" applyFont="1" applyFill="1" applyBorder="1">
      <alignment vertical="center"/>
    </xf>
    <xf numFmtId="176" fontId="33" fillId="22" borderId="29" xfId="1" applyNumberFormat="1" applyFont="1" applyFill="1" applyBorder="1" applyAlignment="1">
      <alignment horizontal="right" vertical="center"/>
    </xf>
    <xf numFmtId="224" fontId="33" fillId="22" borderId="29" xfId="1" applyNumberFormat="1" applyFont="1" applyFill="1" applyBorder="1" applyAlignment="1">
      <alignment horizontal="right" vertical="center"/>
    </xf>
    <xf numFmtId="227" fontId="33" fillId="22" borderId="38" xfId="2" applyNumberFormat="1" applyFont="1" applyFill="1" applyBorder="1" applyAlignment="1">
      <alignment horizontal="right" vertical="center"/>
    </xf>
    <xf numFmtId="0" fontId="33" fillId="0" borderId="19" xfId="26" applyFont="1" applyBorder="1">
      <alignment vertical="center"/>
    </xf>
    <xf numFmtId="0" fontId="33" fillId="0" borderId="24" xfId="26" applyFont="1" applyFill="1" applyBorder="1">
      <alignment vertical="center"/>
    </xf>
    <xf numFmtId="0" fontId="33" fillId="0" borderId="0" xfId="26" applyFont="1" applyFill="1" applyBorder="1">
      <alignment vertical="center"/>
    </xf>
    <xf numFmtId="0" fontId="84" fillId="6" borderId="26" xfId="26" applyFont="1" applyFill="1" applyBorder="1">
      <alignment vertical="center"/>
    </xf>
    <xf numFmtId="0" fontId="84" fillId="6" borderId="25" xfId="26" applyFont="1" applyFill="1" applyBorder="1">
      <alignment vertical="center"/>
    </xf>
    <xf numFmtId="41" fontId="33" fillId="22" borderId="0" xfId="26" applyNumberFormat="1" applyFont="1" applyFill="1" applyBorder="1">
      <alignment vertical="center"/>
    </xf>
    <xf numFmtId="195" fontId="33" fillId="22" borderId="0" xfId="27" applyNumberFormat="1" applyFont="1" applyFill="1" applyBorder="1">
      <alignment vertical="center"/>
    </xf>
    <xf numFmtId="0" fontId="33" fillId="0" borderId="32" xfId="26" applyFont="1" applyBorder="1">
      <alignment vertical="center"/>
    </xf>
    <xf numFmtId="0" fontId="33" fillId="0" borderId="12" xfId="26" applyFont="1" applyFill="1" applyBorder="1">
      <alignment vertical="center"/>
    </xf>
    <xf numFmtId="0" fontId="33" fillId="0" borderId="10" xfId="26" applyFont="1" applyFill="1" applyBorder="1">
      <alignment vertical="center"/>
    </xf>
    <xf numFmtId="41" fontId="33" fillId="0" borderId="10" xfId="27" applyFont="1" applyFill="1" applyBorder="1">
      <alignment vertical="center"/>
    </xf>
    <xf numFmtId="179" fontId="33" fillId="0" borderId="10" xfId="0" applyNumberFormat="1" applyFont="1" applyBorder="1">
      <alignment vertical="center"/>
    </xf>
    <xf numFmtId="194" fontId="33" fillId="0" borderId="10" xfId="26" applyNumberFormat="1" applyFont="1" applyFill="1" applyBorder="1">
      <alignment vertical="center"/>
    </xf>
    <xf numFmtId="182" fontId="33" fillId="0" borderId="10" xfId="26" applyNumberFormat="1" applyFont="1" applyFill="1" applyBorder="1">
      <alignment vertical="center"/>
    </xf>
    <xf numFmtId="0" fontId="33" fillId="0" borderId="10" xfId="26" applyFont="1" applyFill="1" applyBorder="1" applyAlignment="1">
      <alignment horizontal="center" vertical="center"/>
    </xf>
    <xf numFmtId="3" fontId="33" fillId="0" borderId="10" xfId="27" applyNumberFormat="1" applyFont="1" applyFill="1" applyBorder="1">
      <alignment vertical="center"/>
    </xf>
    <xf numFmtId="176" fontId="33" fillId="0" borderId="12" xfId="27" applyNumberFormat="1" applyFont="1" applyBorder="1" applyAlignment="1">
      <alignment horizontal="right" vertical="center"/>
    </xf>
    <xf numFmtId="176" fontId="33" fillId="0" borderId="11" xfId="27" applyNumberFormat="1" applyFont="1" applyBorder="1" applyAlignment="1">
      <alignment horizontal="right" vertical="center"/>
    </xf>
    <xf numFmtId="224" fontId="33" fillId="0" borderId="12" xfId="27" applyNumberFormat="1" applyFont="1" applyBorder="1" applyAlignment="1">
      <alignment horizontal="right" vertical="center"/>
    </xf>
    <xf numFmtId="227" fontId="33" fillId="0" borderId="13" xfId="26" applyNumberFormat="1" applyFont="1" applyBorder="1" applyAlignment="1">
      <alignment horizontal="right" vertical="center"/>
    </xf>
    <xf numFmtId="0" fontId="84" fillId="6" borderId="1" xfId="0" applyFont="1" applyFill="1" applyBorder="1">
      <alignment vertical="center"/>
    </xf>
    <xf numFmtId="0" fontId="84" fillId="6" borderId="52" xfId="0" applyFont="1" applyFill="1" applyBorder="1">
      <alignment vertical="center"/>
    </xf>
    <xf numFmtId="0" fontId="84" fillId="6" borderId="2" xfId="0" applyFont="1" applyFill="1" applyBorder="1">
      <alignment vertical="center"/>
    </xf>
    <xf numFmtId="41" fontId="84" fillId="6" borderId="2" xfId="1" applyFont="1" applyFill="1" applyBorder="1">
      <alignment vertical="center"/>
    </xf>
    <xf numFmtId="0" fontId="84" fillId="6" borderId="2" xfId="0" applyFont="1" applyFill="1" applyBorder="1" applyAlignment="1">
      <alignment horizontal="center" vertical="center"/>
    </xf>
    <xf numFmtId="176" fontId="84" fillId="6" borderId="53" xfId="1" applyNumberFormat="1" applyFont="1" applyFill="1" applyBorder="1" applyAlignment="1">
      <alignment horizontal="right" vertical="center"/>
    </xf>
    <xf numFmtId="224" fontId="84" fillId="6" borderId="53" xfId="1" applyNumberFormat="1" applyFont="1" applyFill="1" applyBorder="1" applyAlignment="1">
      <alignment horizontal="right" vertical="center"/>
    </xf>
    <xf numFmtId="227" fontId="84" fillId="6" borderId="54" xfId="1" applyNumberFormat="1" applyFont="1" applyFill="1" applyBorder="1" applyAlignment="1">
      <alignment horizontal="right" vertical="center"/>
    </xf>
    <xf numFmtId="176" fontId="33" fillId="0" borderId="0" xfId="0" applyNumberFormat="1" applyFont="1">
      <alignment vertical="center"/>
    </xf>
    <xf numFmtId="176" fontId="27" fillId="0" borderId="0" xfId="0" applyNumberFormat="1" applyFont="1">
      <alignment vertical="center"/>
    </xf>
    <xf numFmtId="43" fontId="27" fillId="0" borderId="0" xfId="0" applyNumberFormat="1" applyFont="1">
      <alignment vertical="center"/>
    </xf>
    <xf numFmtId="187" fontId="33" fillId="22" borderId="0" xfId="33" applyNumberFormat="1" applyFont="1" applyFill="1" applyBorder="1">
      <alignment vertical="center"/>
    </xf>
    <xf numFmtId="180" fontId="33" fillId="22" borderId="0" xfId="33" applyNumberFormat="1" applyFont="1" applyFill="1" applyBorder="1">
      <alignment vertical="center"/>
    </xf>
    <xf numFmtId="181" fontId="33" fillId="22" borderId="0" xfId="34" applyNumberFormat="1" applyFont="1" applyFill="1" applyBorder="1">
      <alignment vertical="center"/>
    </xf>
    <xf numFmtId="0" fontId="33" fillId="22" borderId="0" xfId="34" applyFont="1" applyFill="1" applyBorder="1">
      <alignment vertical="center"/>
    </xf>
    <xf numFmtId="41" fontId="33" fillId="22" borderId="0" xfId="35" applyFont="1" applyFill="1" applyBorder="1">
      <alignment vertical="center"/>
    </xf>
    <xf numFmtId="182" fontId="33" fillId="22" borderId="0" xfId="34" applyNumberFormat="1" applyFont="1" applyFill="1" applyBorder="1">
      <alignment vertical="center"/>
    </xf>
    <xf numFmtId="0" fontId="84" fillId="6" borderId="37" xfId="0" applyFont="1" applyFill="1" applyBorder="1">
      <alignment vertical="center"/>
    </xf>
    <xf numFmtId="0" fontId="33" fillId="0" borderId="35" xfId="0" applyFont="1" applyBorder="1">
      <alignment vertical="center"/>
    </xf>
    <xf numFmtId="0" fontId="33" fillId="0" borderId="0" xfId="33" applyFont="1" applyFill="1" applyBorder="1" applyAlignment="1">
      <alignment horizontal="left" vertical="center" wrapText="1" indent="1"/>
    </xf>
    <xf numFmtId="180" fontId="33" fillId="0" borderId="0" xfId="33" applyNumberFormat="1" applyFont="1" applyBorder="1">
      <alignment vertical="center"/>
    </xf>
    <xf numFmtId="227" fontId="65" fillId="0" borderId="30" xfId="25" applyNumberFormat="1" applyFont="1" applyBorder="1" applyAlignment="1">
      <alignment horizontal="right" vertical="center"/>
    </xf>
    <xf numFmtId="178" fontId="33" fillId="22" borderId="0" xfId="0" applyNumberFormat="1" applyFont="1" applyFill="1" applyBorder="1">
      <alignment vertical="center"/>
    </xf>
    <xf numFmtId="0" fontId="65" fillId="0" borderId="20" xfId="24" applyNumberFormat="1" applyFont="1" applyFill="1" applyBorder="1">
      <alignment vertical="center"/>
    </xf>
    <xf numFmtId="0" fontId="65" fillId="0" borderId="21" xfId="24" applyNumberFormat="1" applyFont="1" applyFill="1" applyBorder="1">
      <alignment vertical="center"/>
    </xf>
    <xf numFmtId="0" fontId="65" fillId="0" borderId="0" xfId="24" applyNumberFormat="1" applyFont="1">
      <alignment vertical="center"/>
    </xf>
    <xf numFmtId="0" fontId="68" fillId="0" borderId="0" xfId="24" applyNumberFormat="1" applyFont="1" applyFill="1">
      <alignment vertical="center"/>
    </xf>
    <xf numFmtId="0" fontId="65" fillId="0" borderId="24" xfId="24" applyNumberFormat="1" applyFont="1" applyFill="1" applyBorder="1">
      <alignment vertical="center"/>
    </xf>
    <xf numFmtId="176" fontId="65" fillId="0" borderId="27" xfId="25" applyNumberFormat="1" applyFont="1" applyBorder="1" applyAlignment="1">
      <alignment horizontal="right" vertical="center"/>
    </xf>
    <xf numFmtId="224" fontId="65" fillId="0" borderId="27" xfId="25" applyNumberFormat="1" applyFont="1" applyBorder="1" applyAlignment="1">
      <alignment horizontal="right" vertical="center"/>
    </xf>
    <xf numFmtId="227" fontId="65" fillId="0" borderId="28" xfId="24" applyNumberFormat="1" applyFont="1" applyBorder="1" applyAlignment="1">
      <alignment horizontal="right" vertical="center"/>
    </xf>
    <xf numFmtId="0" fontId="65" fillId="0" borderId="31" xfId="24" applyNumberFormat="1" applyFont="1" applyFill="1" applyBorder="1">
      <alignment vertical="center"/>
    </xf>
    <xf numFmtId="0" fontId="66" fillId="6" borderId="26" xfId="24" applyNumberFormat="1" applyFont="1" applyFill="1" applyBorder="1">
      <alignment vertical="center"/>
    </xf>
    <xf numFmtId="0" fontId="66" fillId="6" borderId="25" xfId="24" applyNumberFormat="1" applyFont="1" applyFill="1" applyBorder="1">
      <alignment vertical="center"/>
    </xf>
    <xf numFmtId="41" fontId="66" fillId="6" borderId="25" xfId="25" applyNumberFormat="1" applyFont="1" applyFill="1" applyBorder="1">
      <alignment vertical="center"/>
    </xf>
    <xf numFmtId="0" fontId="66" fillId="6" borderId="25" xfId="24" applyNumberFormat="1" applyFont="1" applyFill="1" applyBorder="1" applyAlignment="1">
      <alignment horizontal="center" vertical="center"/>
    </xf>
    <xf numFmtId="176" fontId="66" fillId="6" borderId="27" xfId="25" applyNumberFormat="1" applyFont="1" applyFill="1" applyBorder="1" applyAlignment="1">
      <alignment horizontal="right" vertical="center"/>
    </xf>
    <xf numFmtId="224" fontId="66" fillId="6" borderId="27" xfId="25" applyNumberFormat="1" applyFont="1" applyFill="1" applyBorder="1" applyAlignment="1">
      <alignment horizontal="right" vertical="center"/>
    </xf>
    <xf numFmtId="227" fontId="66" fillId="6" borderId="28" xfId="24" applyNumberFormat="1" applyFont="1" applyFill="1" applyBorder="1" applyAlignment="1">
      <alignment horizontal="right" vertical="center"/>
    </xf>
    <xf numFmtId="0" fontId="65" fillId="4" borderId="25" xfId="24" applyNumberFormat="1" applyFont="1" applyFill="1" applyBorder="1">
      <alignment vertical="center"/>
    </xf>
    <xf numFmtId="41" fontId="65" fillId="4" borderId="25" xfId="25" applyNumberFormat="1" applyFont="1" applyFill="1" applyBorder="1">
      <alignment vertical="center"/>
    </xf>
    <xf numFmtId="0" fontId="65" fillId="4" borderId="25" xfId="24" applyNumberFormat="1" applyFont="1" applyFill="1" applyBorder="1" applyAlignment="1">
      <alignment horizontal="center" vertical="center"/>
    </xf>
    <xf numFmtId="176" fontId="65" fillId="4" borderId="27" xfId="25" applyNumberFormat="1" applyFont="1" applyFill="1" applyBorder="1" applyAlignment="1">
      <alignment horizontal="right" vertical="center"/>
    </xf>
    <xf numFmtId="224" fontId="65" fillId="4" borderId="27" xfId="25" applyNumberFormat="1" applyFont="1" applyFill="1" applyBorder="1" applyAlignment="1">
      <alignment horizontal="right" vertical="center"/>
    </xf>
    <xf numFmtId="227" fontId="65" fillId="4" borderId="28" xfId="25" applyNumberFormat="1" applyFont="1" applyFill="1" applyBorder="1" applyAlignment="1">
      <alignment horizontal="right" vertical="center"/>
    </xf>
    <xf numFmtId="41" fontId="65" fillId="0" borderId="12" xfId="25" applyNumberFormat="1" applyFont="1" applyBorder="1" applyAlignment="1">
      <alignment horizontal="right" vertical="center"/>
    </xf>
    <xf numFmtId="224" fontId="27" fillId="0" borderId="0" xfId="1" applyNumberFormat="1" applyFont="1" applyAlignment="1">
      <alignment horizontal="right" vertical="center"/>
    </xf>
    <xf numFmtId="227" fontId="27" fillId="0" borderId="0" xfId="0" applyNumberFormat="1" applyFont="1" applyAlignment="1">
      <alignment horizontal="right" vertical="center"/>
    </xf>
    <xf numFmtId="41" fontId="33" fillId="0" borderId="0" xfId="0" applyNumberFormat="1" applyFont="1">
      <alignment vertical="center"/>
    </xf>
    <xf numFmtId="43" fontId="33" fillId="0" borderId="0" xfId="0" applyNumberFormat="1" applyFont="1">
      <alignment vertical="center"/>
    </xf>
    <xf numFmtId="41" fontId="65" fillId="0" borderId="0" xfId="25" applyNumberFormat="1" applyFont="1" applyBorder="1" applyAlignment="1">
      <alignment vertical="center"/>
    </xf>
    <xf numFmtId="184" fontId="65" fillId="0" borderId="0" xfId="24" applyNumberFormat="1" applyFont="1" applyBorder="1">
      <alignment vertical="center"/>
    </xf>
    <xf numFmtId="0" fontId="33" fillId="0" borderId="43" xfId="0" applyFont="1" applyFill="1" applyBorder="1">
      <alignment vertical="center"/>
    </xf>
    <xf numFmtId="179" fontId="33" fillId="0" borderId="0" xfId="33" applyNumberFormat="1" applyFont="1" applyBorder="1">
      <alignment vertical="center"/>
    </xf>
    <xf numFmtId="0" fontId="65" fillId="0" borderId="19" xfId="24" applyNumberFormat="1" applyFont="1" applyBorder="1">
      <alignment vertical="center"/>
    </xf>
    <xf numFmtId="0" fontId="65" fillId="0" borderId="29" xfId="24" applyNumberFormat="1" applyFont="1" applyFill="1" applyBorder="1">
      <alignment vertical="center"/>
    </xf>
    <xf numFmtId="0" fontId="65" fillId="0" borderId="0" xfId="24" applyNumberFormat="1" applyFont="1" applyFill="1" applyBorder="1">
      <alignment vertical="center"/>
    </xf>
    <xf numFmtId="0" fontId="65" fillId="0" borderId="32" xfId="24" applyNumberFormat="1" applyFont="1" applyBorder="1">
      <alignment vertical="center"/>
    </xf>
    <xf numFmtId="0" fontId="65" fillId="0" borderId="12" xfId="24" applyNumberFormat="1" applyFont="1" applyFill="1" applyBorder="1">
      <alignment vertical="center"/>
    </xf>
    <xf numFmtId="0" fontId="65" fillId="0" borderId="10" xfId="24" applyNumberFormat="1" applyFont="1" applyFill="1" applyBorder="1">
      <alignment vertical="center"/>
    </xf>
    <xf numFmtId="0" fontId="33" fillId="0" borderId="10" xfId="33" applyFont="1" applyBorder="1">
      <alignment vertical="center"/>
    </xf>
    <xf numFmtId="179" fontId="33" fillId="0" borderId="10" xfId="33" applyNumberFormat="1" applyFont="1" applyBorder="1">
      <alignment vertical="center"/>
    </xf>
    <xf numFmtId="224" fontId="33" fillId="0" borderId="0" xfId="1" applyNumberFormat="1" applyFont="1" applyAlignment="1">
      <alignment horizontal="right" vertical="center"/>
    </xf>
    <xf numFmtId="227" fontId="33" fillId="0" borderId="0" xfId="0" applyNumberFormat="1" applyFont="1" applyAlignment="1">
      <alignment horizontal="right" vertical="center"/>
    </xf>
    <xf numFmtId="0" fontId="65" fillId="0" borderId="0" xfId="3" applyNumberFormat="1" applyFont="1">
      <alignment vertical="center"/>
    </xf>
    <xf numFmtId="0" fontId="65" fillId="0" borderId="0" xfId="3" applyNumberFormat="1" applyFont="1" applyFill="1">
      <alignment vertical="center"/>
    </xf>
    <xf numFmtId="41" fontId="65" fillId="0" borderId="0" xfId="4" applyNumberFormat="1" applyFont="1">
      <alignment vertical="center"/>
    </xf>
    <xf numFmtId="0" fontId="65" fillId="0" borderId="0" xfId="3" applyNumberFormat="1" applyFont="1" applyAlignment="1">
      <alignment horizontal="center" vertical="center"/>
    </xf>
    <xf numFmtId="176" fontId="65" fillId="0" borderId="0" xfId="4" applyNumberFormat="1" applyFont="1" applyAlignment="1">
      <alignment horizontal="right" vertical="center"/>
    </xf>
    <xf numFmtId="41" fontId="65" fillId="0" borderId="0" xfId="4" applyNumberFormat="1" applyFont="1" applyAlignment="1">
      <alignment horizontal="right" vertical="center"/>
    </xf>
    <xf numFmtId="0" fontId="65" fillId="9" borderId="34" xfId="3" applyNumberFormat="1" applyFont="1" applyFill="1" applyBorder="1" applyAlignment="1">
      <alignment horizontal="center" vertical="center"/>
    </xf>
    <xf numFmtId="0" fontId="65" fillId="9" borderId="7" xfId="3" applyNumberFormat="1" applyFont="1" applyFill="1" applyBorder="1" applyAlignment="1">
      <alignment horizontal="center" vertical="center"/>
    </xf>
    <xf numFmtId="0" fontId="65" fillId="9" borderId="8" xfId="3" applyNumberFormat="1" applyFont="1" applyFill="1" applyBorder="1" applyAlignment="1">
      <alignment horizontal="center" vertical="center"/>
    </xf>
    <xf numFmtId="0" fontId="65" fillId="9" borderId="9" xfId="3" applyNumberFormat="1" applyFont="1" applyFill="1" applyBorder="1" applyAlignment="1">
      <alignment horizontal="center" vertical="center"/>
    </xf>
    <xf numFmtId="0" fontId="98" fillId="3" borderId="32" xfId="3" applyNumberFormat="1" applyFont="1" applyFill="1" applyBorder="1" applyAlignment="1">
      <alignment vertical="center"/>
    </xf>
    <xf numFmtId="0" fontId="98" fillId="3" borderId="15" xfId="3" applyNumberFormat="1" applyFont="1" applyFill="1" applyBorder="1">
      <alignment vertical="center"/>
    </xf>
    <xf numFmtId="0" fontId="98" fillId="3" borderId="16" xfId="3" applyNumberFormat="1" applyFont="1" applyFill="1" applyBorder="1">
      <alignment vertical="center"/>
    </xf>
    <xf numFmtId="41" fontId="98" fillId="3" borderId="16" xfId="4" applyNumberFormat="1" applyFont="1" applyFill="1" applyBorder="1">
      <alignment vertical="center"/>
    </xf>
    <xf numFmtId="0" fontId="98" fillId="3" borderId="16" xfId="3" applyNumberFormat="1" applyFont="1" applyFill="1" applyBorder="1" applyAlignment="1">
      <alignment horizontal="center" vertical="center"/>
    </xf>
    <xf numFmtId="176" fontId="98" fillId="3" borderId="17" xfId="4" applyNumberFormat="1" applyFont="1" applyFill="1" applyBorder="1" applyAlignment="1">
      <alignment horizontal="right" vertical="center"/>
    </xf>
    <xf numFmtId="224" fontId="98" fillId="3" borderId="42" xfId="4" applyNumberFormat="1" applyFont="1" applyFill="1" applyBorder="1" applyAlignment="1">
      <alignment horizontal="right" vertical="center"/>
    </xf>
    <xf numFmtId="227" fontId="98" fillId="3" borderId="18" xfId="4" applyNumberFormat="1" applyFont="1" applyFill="1" applyBorder="1" applyAlignment="1">
      <alignment horizontal="right" vertical="center"/>
    </xf>
    <xf numFmtId="0" fontId="65" fillId="0" borderId="19" xfId="3" applyNumberFormat="1" applyFont="1" applyBorder="1">
      <alignment vertical="center"/>
    </xf>
    <xf numFmtId="176" fontId="65" fillId="0" borderId="22" xfId="4" applyNumberFormat="1" applyFont="1" applyBorder="1" applyAlignment="1">
      <alignment horizontal="right" vertical="center"/>
    </xf>
    <xf numFmtId="224" fontId="65" fillId="0" borderId="27" xfId="4" applyNumberFormat="1" applyFont="1" applyBorder="1" applyAlignment="1">
      <alignment horizontal="right" vertical="center"/>
    </xf>
    <xf numFmtId="227" fontId="65" fillId="0" borderId="28" xfId="3" applyNumberFormat="1" applyFont="1" applyBorder="1" applyAlignment="1">
      <alignment horizontal="right" vertical="center"/>
    </xf>
    <xf numFmtId="0" fontId="65" fillId="0" borderId="29" xfId="3" applyNumberFormat="1" applyFont="1" applyFill="1" applyBorder="1">
      <alignment vertical="center"/>
    </xf>
    <xf numFmtId="176" fontId="65" fillId="0" borderId="27" xfId="4" applyNumberFormat="1" applyFont="1" applyBorder="1" applyAlignment="1">
      <alignment horizontal="right" vertical="center"/>
    </xf>
    <xf numFmtId="0" fontId="65" fillId="0" borderId="24" xfId="3" applyNumberFormat="1" applyFont="1" applyFill="1" applyBorder="1">
      <alignment vertical="center"/>
    </xf>
    <xf numFmtId="0" fontId="66" fillId="6" borderId="26" xfId="3" applyNumberFormat="1" applyFont="1" applyFill="1" applyBorder="1">
      <alignment vertical="center"/>
    </xf>
    <xf numFmtId="0" fontId="66" fillId="6" borderId="25" xfId="3" applyNumberFormat="1" applyFont="1" applyFill="1" applyBorder="1">
      <alignment vertical="center"/>
    </xf>
    <xf numFmtId="41" fontId="66" fillId="6" borderId="25" xfId="4" applyNumberFormat="1" applyFont="1" applyFill="1" applyBorder="1">
      <alignment vertical="center"/>
    </xf>
    <xf numFmtId="0" fontId="66" fillId="6" borderId="25" xfId="3" applyNumberFormat="1" applyFont="1" applyFill="1" applyBorder="1" applyAlignment="1">
      <alignment horizontal="center" vertical="center"/>
    </xf>
    <xf numFmtId="176" fontId="66" fillId="6" borderId="27" xfId="4" applyNumberFormat="1" applyFont="1" applyFill="1" applyBorder="1" applyAlignment="1">
      <alignment horizontal="right" vertical="center"/>
    </xf>
    <xf numFmtId="224" fontId="66" fillId="6" borderId="27" xfId="4" applyNumberFormat="1" applyFont="1" applyFill="1" applyBorder="1" applyAlignment="1">
      <alignment horizontal="right" vertical="center"/>
    </xf>
    <xf numFmtId="227" fontId="66" fillId="6" borderId="28" xfId="3" applyNumberFormat="1" applyFont="1" applyFill="1" applyBorder="1" applyAlignment="1">
      <alignment horizontal="right" vertical="center"/>
    </xf>
    <xf numFmtId="0" fontId="65" fillId="0" borderId="36" xfId="3" applyNumberFormat="1" applyFont="1" applyFill="1" applyBorder="1">
      <alignment vertical="center"/>
    </xf>
    <xf numFmtId="176" fontId="65" fillId="4" borderId="27" xfId="4" applyNumberFormat="1" applyFont="1" applyFill="1" applyBorder="1" applyAlignment="1">
      <alignment horizontal="right" vertical="center"/>
    </xf>
    <xf numFmtId="224" fontId="65" fillId="4" borderId="27" xfId="4" applyNumberFormat="1" applyFont="1" applyFill="1" applyBorder="1" applyAlignment="1">
      <alignment horizontal="right" vertical="center"/>
    </xf>
    <xf numFmtId="227" fontId="65" fillId="4" borderId="28" xfId="5" applyNumberFormat="1" applyFont="1" applyFill="1" applyBorder="1" applyAlignment="1">
      <alignment horizontal="right" vertical="center"/>
    </xf>
    <xf numFmtId="41" fontId="65" fillId="22" borderId="0" xfId="25" applyNumberFormat="1" applyFont="1" applyFill="1" applyBorder="1" applyAlignment="1">
      <alignment vertical="center" wrapText="1"/>
    </xf>
    <xf numFmtId="0" fontId="65" fillId="22" borderId="0" xfId="24" applyFont="1" applyFill="1" applyBorder="1">
      <alignment vertical="center"/>
    </xf>
    <xf numFmtId="176" fontId="65" fillId="22" borderId="24" xfId="4" applyNumberFormat="1" applyFont="1" applyFill="1" applyBorder="1" applyAlignment="1">
      <alignment horizontal="right" vertical="center"/>
    </xf>
    <xf numFmtId="224" fontId="65" fillId="22" borderId="24" xfId="4" applyNumberFormat="1" applyFont="1" applyFill="1" applyBorder="1" applyAlignment="1">
      <alignment horizontal="right" vertical="center"/>
    </xf>
    <xf numFmtId="227" fontId="65" fillId="22" borderId="30" xfId="3" applyNumberFormat="1" applyFont="1" applyFill="1" applyBorder="1" applyAlignment="1">
      <alignment horizontal="right" vertical="center"/>
    </xf>
    <xf numFmtId="204" fontId="65" fillId="0" borderId="0" xfId="24" applyNumberFormat="1" applyFont="1" applyBorder="1">
      <alignment vertical="center"/>
    </xf>
    <xf numFmtId="205" fontId="65" fillId="0" borderId="0" xfId="24" applyNumberFormat="1" applyFont="1" applyBorder="1">
      <alignment vertical="center"/>
    </xf>
    <xf numFmtId="176" fontId="65" fillId="0" borderId="24" xfId="4" applyNumberFormat="1" applyFont="1" applyBorder="1" applyAlignment="1">
      <alignment horizontal="right" vertical="center"/>
    </xf>
    <xf numFmtId="224" fontId="65" fillId="0" borderId="24" xfId="4" applyNumberFormat="1" applyFont="1" applyBorder="1" applyAlignment="1">
      <alignment horizontal="right" vertical="center"/>
    </xf>
    <xf numFmtId="227" fontId="65" fillId="0" borderId="30" xfId="3" applyNumberFormat="1" applyFont="1" applyBorder="1" applyAlignment="1">
      <alignment horizontal="right" vertical="center"/>
    </xf>
    <xf numFmtId="0" fontId="65" fillId="0" borderId="0" xfId="24" applyFont="1" applyBorder="1">
      <alignment vertical="center"/>
    </xf>
    <xf numFmtId="0" fontId="65" fillId="0" borderId="31" xfId="3" applyNumberFormat="1" applyFont="1" applyFill="1" applyBorder="1">
      <alignment vertical="center"/>
    </xf>
    <xf numFmtId="0" fontId="65" fillId="0" borderId="0" xfId="3" applyNumberFormat="1" applyFont="1" applyBorder="1">
      <alignment vertical="center"/>
    </xf>
    <xf numFmtId="0" fontId="65" fillId="0" borderId="22" xfId="3" applyNumberFormat="1" applyFont="1" applyFill="1" applyBorder="1">
      <alignment vertical="center"/>
    </xf>
    <xf numFmtId="0" fontId="65" fillId="0" borderId="0" xfId="3" applyNumberFormat="1" applyFont="1" applyBorder="1" applyAlignment="1">
      <alignment horizontal="left" vertical="center" wrapText="1" indent="1"/>
    </xf>
    <xf numFmtId="0" fontId="65" fillId="22" borderId="37" xfId="3" applyNumberFormat="1" applyFont="1" applyFill="1" applyBorder="1">
      <alignment vertical="center"/>
    </xf>
    <xf numFmtId="41" fontId="65" fillId="22" borderId="37" xfId="4" applyNumberFormat="1" applyFont="1" applyFill="1" applyBorder="1">
      <alignment vertical="center"/>
    </xf>
    <xf numFmtId="0" fontId="65" fillId="22" borderId="37" xfId="3" applyNumberFormat="1" applyFont="1" applyFill="1" applyBorder="1" applyAlignment="1">
      <alignment horizontal="center" vertical="center"/>
    </xf>
    <xf numFmtId="178" fontId="65" fillId="22" borderId="37" xfId="3" applyNumberFormat="1" applyFont="1" applyFill="1" applyBorder="1">
      <alignment vertical="center"/>
    </xf>
    <xf numFmtId="176" fontId="65" fillId="22" borderId="29" xfId="4" applyNumberFormat="1" applyFont="1" applyFill="1" applyBorder="1" applyAlignment="1">
      <alignment horizontal="right" vertical="center"/>
    </xf>
    <xf numFmtId="224" fontId="65" fillId="22" borderId="29" xfId="4" applyNumberFormat="1" applyFont="1" applyFill="1" applyBorder="1" applyAlignment="1">
      <alignment horizontal="right" vertical="center"/>
    </xf>
    <xf numFmtId="227" fontId="65" fillId="22" borderId="38" xfId="3" applyNumberFormat="1" applyFont="1" applyFill="1" applyBorder="1" applyAlignment="1">
      <alignment horizontal="right" vertical="center"/>
    </xf>
    <xf numFmtId="41" fontId="65" fillId="0" borderId="0" xfId="4" applyNumberFormat="1" applyFont="1" applyBorder="1" applyAlignment="1">
      <alignment vertical="center" wrapText="1"/>
    </xf>
    <xf numFmtId="180" fontId="65" fillId="0" borderId="0" xfId="3" applyNumberFormat="1" applyFont="1" applyBorder="1">
      <alignment vertical="center"/>
    </xf>
    <xf numFmtId="182" fontId="65" fillId="0" borderId="0" xfId="3" applyNumberFormat="1" applyFont="1" applyBorder="1">
      <alignment vertical="center"/>
    </xf>
    <xf numFmtId="0" fontId="65" fillId="0" borderId="0" xfId="3" applyNumberFormat="1" applyFont="1" applyBorder="1" applyAlignment="1">
      <alignment horizontal="center" vertical="center"/>
    </xf>
    <xf numFmtId="41" fontId="65" fillId="0" borderId="31" xfId="3" applyNumberFormat="1" applyFont="1" applyBorder="1">
      <alignment vertical="center"/>
    </xf>
    <xf numFmtId="0" fontId="33" fillId="0" borderId="10" xfId="36" applyFont="1" applyBorder="1">
      <alignment vertical="center"/>
    </xf>
    <xf numFmtId="176" fontId="39" fillId="0" borderId="0" xfId="0" quotePrefix="1" applyNumberFormat="1" applyFont="1" applyFill="1">
      <alignment vertical="center"/>
    </xf>
    <xf numFmtId="176" fontId="39" fillId="0" borderId="0" xfId="0" applyNumberFormat="1" applyFont="1" applyFill="1">
      <alignment vertical="center"/>
    </xf>
    <xf numFmtId="41" fontId="19" fillId="0" borderId="0" xfId="1" applyFont="1" applyFill="1" applyBorder="1">
      <alignment vertical="center"/>
    </xf>
    <xf numFmtId="0" fontId="19" fillId="0" borderId="0" xfId="0" applyFont="1" applyFill="1" applyBorder="1" applyAlignment="1">
      <alignment horizontal="center" vertical="center"/>
    </xf>
    <xf numFmtId="178" fontId="19" fillId="0" borderId="0" xfId="0" applyNumberFormat="1" applyFont="1" applyFill="1" applyBorder="1">
      <alignment vertical="center"/>
    </xf>
    <xf numFmtId="0" fontId="19" fillId="0" borderId="10" xfId="0" applyFont="1" applyFill="1" applyBorder="1" applyAlignment="1">
      <alignment horizontal="left" vertical="center" wrapText="1" indent="1"/>
    </xf>
    <xf numFmtId="41" fontId="19" fillId="0" borderId="10" xfId="1" applyFont="1" applyFill="1" applyBorder="1" applyAlignment="1">
      <alignment vertical="center" wrapText="1"/>
    </xf>
    <xf numFmtId="179" fontId="19" fillId="0" borderId="10" xfId="0" applyNumberFormat="1" applyFont="1" applyFill="1" applyBorder="1">
      <alignment vertical="center"/>
    </xf>
    <xf numFmtId="182" fontId="19" fillId="0" borderId="10" xfId="0" applyNumberFormat="1" applyFont="1" applyFill="1" applyBorder="1">
      <alignment vertical="center"/>
    </xf>
    <xf numFmtId="0" fontId="19" fillId="0" borderId="10" xfId="0" applyFont="1" applyFill="1" applyBorder="1" applyAlignment="1">
      <alignment horizontal="center" vertical="center"/>
    </xf>
    <xf numFmtId="41" fontId="19" fillId="0" borderId="10" xfId="0" applyNumberFormat="1" applyFont="1" applyFill="1" applyBorder="1">
      <alignment vertical="center"/>
    </xf>
    <xf numFmtId="176" fontId="19" fillId="0" borderId="12" xfId="1" applyNumberFormat="1" applyFont="1" applyBorder="1" applyAlignment="1">
      <alignment horizontal="right" vertical="center"/>
    </xf>
    <xf numFmtId="224" fontId="19" fillId="0" borderId="12" xfId="1" applyNumberFormat="1" applyFont="1" applyBorder="1" applyAlignment="1">
      <alignment horizontal="right" vertical="center"/>
    </xf>
    <xf numFmtId="0" fontId="19" fillId="0" borderId="13" xfId="0" applyFont="1" applyBorder="1" applyAlignment="1">
      <alignment horizontal="right" vertical="center"/>
    </xf>
    <xf numFmtId="224" fontId="19" fillId="0" borderId="0" xfId="1" applyNumberFormat="1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49" fontId="33" fillId="0" borderId="0" xfId="0" applyNumberFormat="1" applyFont="1" applyFill="1">
      <alignment vertical="center"/>
    </xf>
    <xf numFmtId="0" fontId="33" fillId="0" borderId="0" xfId="0" applyFont="1" applyAlignment="1">
      <alignment vertical="center"/>
    </xf>
    <xf numFmtId="49" fontId="64" fillId="2" borderId="34" xfId="3" applyNumberFormat="1" applyFont="1" applyFill="1" applyBorder="1" applyAlignment="1">
      <alignment horizontal="center" vertical="center"/>
    </xf>
    <xf numFmtId="49" fontId="64" fillId="2" borderId="9" xfId="3" applyNumberFormat="1" applyFont="1" applyFill="1" applyBorder="1" applyAlignment="1">
      <alignment horizontal="center" vertical="center"/>
    </xf>
    <xf numFmtId="0" fontId="84" fillId="6" borderId="32" xfId="0" applyFont="1" applyFill="1" applyBorder="1" applyAlignment="1">
      <alignment vertical="center"/>
    </xf>
    <xf numFmtId="0" fontId="84" fillId="6" borderId="10" xfId="0" applyFont="1" applyFill="1" applyBorder="1" applyAlignment="1">
      <alignment vertical="center"/>
    </xf>
    <xf numFmtId="49" fontId="84" fillId="6" borderId="10" xfId="0" applyNumberFormat="1" applyFont="1" applyFill="1" applyBorder="1" applyAlignment="1">
      <alignment vertical="center"/>
    </xf>
    <xf numFmtId="0" fontId="84" fillId="6" borderId="16" xfId="0" applyFont="1" applyFill="1" applyBorder="1" applyAlignment="1">
      <alignment vertical="center"/>
    </xf>
    <xf numFmtId="49" fontId="33" fillId="0" borderId="21" xfId="0" applyNumberFormat="1" applyFont="1" applyFill="1" applyBorder="1">
      <alignment vertical="center"/>
    </xf>
    <xf numFmtId="0" fontId="33" fillId="0" borderId="21" xfId="0" applyFont="1" applyBorder="1" applyAlignment="1">
      <alignment vertical="center"/>
    </xf>
    <xf numFmtId="49" fontId="33" fillId="0" borderId="25" xfId="0" applyNumberFormat="1" applyFont="1" applyFill="1" applyBorder="1">
      <alignment vertical="center"/>
    </xf>
    <xf numFmtId="0" fontId="33" fillId="0" borderId="25" xfId="0" applyFont="1" applyBorder="1" applyAlignment="1">
      <alignment vertical="center"/>
    </xf>
    <xf numFmtId="0" fontId="84" fillId="6" borderId="25" xfId="0" applyFont="1" applyFill="1" applyBorder="1" applyAlignment="1">
      <alignment vertical="center"/>
    </xf>
    <xf numFmtId="49" fontId="84" fillId="6" borderId="25" xfId="0" applyNumberFormat="1" applyFont="1" applyFill="1" applyBorder="1">
      <alignment vertical="center"/>
    </xf>
    <xf numFmtId="49" fontId="68" fillId="22" borderId="0" xfId="24" applyNumberFormat="1" applyFont="1" applyFill="1" applyBorder="1">
      <alignment vertical="center"/>
    </xf>
    <xf numFmtId="41" fontId="68" fillId="22" borderId="0" xfId="25" applyNumberFormat="1" applyFont="1" applyFill="1" applyBorder="1">
      <alignment vertical="center"/>
    </xf>
    <xf numFmtId="0" fontId="68" fillId="22" borderId="0" xfId="24" applyNumberFormat="1" applyFont="1" applyFill="1" applyBorder="1">
      <alignment vertical="center"/>
    </xf>
    <xf numFmtId="0" fontId="68" fillId="22" borderId="0" xfId="24" applyNumberFormat="1" applyFont="1" applyFill="1" applyBorder="1" applyAlignment="1">
      <alignment vertical="center"/>
    </xf>
    <xf numFmtId="0" fontId="68" fillId="22" borderId="0" xfId="24" applyNumberFormat="1" applyFont="1" applyFill="1" applyBorder="1" applyAlignment="1">
      <alignment horizontal="center" vertical="center"/>
    </xf>
    <xf numFmtId="178" fontId="68" fillId="22" borderId="0" xfId="24" applyNumberFormat="1" applyFont="1" applyFill="1" applyBorder="1">
      <alignment vertical="center"/>
    </xf>
    <xf numFmtId="0" fontId="33" fillId="0" borderId="0" xfId="0" applyFont="1" applyFill="1" applyBorder="1" applyAlignment="1">
      <alignment horizontal="left" vertical="center" wrapText="1" indent="1"/>
    </xf>
    <xf numFmtId="49" fontId="68" fillId="0" borderId="0" xfId="24" applyNumberFormat="1" applyFont="1" applyFill="1" applyBorder="1" applyAlignment="1">
      <alignment horizontal="left" vertical="center" wrapText="1" indent="1"/>
    </xf>
    <xf numFmtId="41" fontId="68" fillId="0" borderId="0" xfId="6" applyNumberFormat="1" applyFont="1" applyFill="1" applyBorder="1" applyAlignment="1">
      <alignment horizontal="right" vertical="center" shrinkToFit="1"/>
    </xf>
    <xf numFmtId="0" fontId="68" fillId="0" borderId="0" xfId="24" applyNumberFormat="1" applyFont="1" applyBorder="1">
      <alignment vertical="center"/>
    </xf>
    <xf numFmtId="181" fontId="68" fillId="0" borderId="0" xfId="24" applyNumberFormat="1" applyFont="1" applyBorder="1">
      <alignment vertical="center"/>
    </xf>
    <xf numFmtId="182" fontId="68" fillId="0" borderId="0" xfId="24" applyNumberFormat="1" applyFont="1" applyBorder="1">
      <alignment vertical="center"/>
    </xf>
    <xf numFmtId="182" fontId="68" fillId="0" borderId="0" xfId="24" applyNumberFormat="1" applyFont="1" applyBorder="1" applyAlignment="1">
      <alignment vertical="center"/>
    </xf>
    <xf numFmtId="0" fontId="68" fillId="0" borderId="0" xfId="24" applyNumberFormat="1" applyFont="1" applyBorder="1" applyAlignment="1">
      <alignment horizontal="center" vertical="center"/>
    </xf>
    <xf numFmtId="41" fontId="68" fillId="0" borderId="0" xfId="24" applyNumberFormat="1" applyFont="1" applyBorder="1">
      <alignment vertical="center"/>
    </xf>
    <xf numFmtId="49" fontId="68" fillId="0" borderId="0" xfId="24" applyNumberFormat="1" applyFont="1" applyFill="1" applyBorder="1" applyAlignment="1">
      <alignment horizontal="left" vertical="center" indent="1"/>
    </xf>
    <xf numFmtId="49" fontId="65" fillId="4" borderId="25" xfId="24" applyNumberFormat="1" applyFont="1" applyFill="1" applyBorder="1">
      <alignment vertical="center"/>
    </xf>
    <xf numFmtId="0" fontId="65" fillId="4" borderId="25" xfId="24" applyNumberFormat="1" applyFont="1" applyFill="1" applyBorder="1" applyAlignment="1">
      <alignment vertical="center"/>
    </xf>
    <xf numFmtId="227" fontId="65" fillId="4" borderId="28" xfId="29" applyNumberFormat="1" applyFont="1" applyFill="1" applyBorder="1" applyAlignment="1">
      <alignment horizontal="right" vertical="center"/>
    </xf>
    <xf numFmtId="176" fontId="68" fillId="0" borderId="24" xfId="25" applyNumberFormat="1" applyFont="1" applyBorder="1" applyAlignment="1">
      <alignment horizontal="right" vertical="center"/>
    </xf>
    <xf numFmtId="224" fontId="68" fillId="0" borderId="24" xfId="25" applyNumberFormat="1" applyFont="1" applyBorder="1" applyAlignment="1">
      <alignment horizontal="right" vertical="center"/>
    </xf>
    <xf numFmtId="227" fontId="68" fillId="0" borderId="30" xfId="24" applyNumberFormat="1" applyFont="1" applyBorder="1" applyAlignment="1">
      <alignment horizontal="right" vertical="center"/>
    </xf>
    <xf numFmtId="176" fontId="65" fillId="0" borderId="0" xfId="24" applyNumberFormat="1" applyFont="1">
      <alignment vertical="center"/>
    </xf>
    <xf numFmtId="178" fontId="68" fillId="22" borderId="31" xfId="24" applyNumberFormat="1" applyFont="1" applyFill="1" applyBorder="1">
      <alignment vertical="center"/>
    </xf>
    <xf numFmtId="41" fontId="68" fillId="0" borderId="0" xfId="25" applyNumberFormat="1" applyFont="1" applyBorder="1" applyAlignment="1">
      <alignment vertical="center" wrapText="1"/>
    </xf>
    <xf numFmtId="41" fontId="68" fillId="0" borderId="31" xfId="24" applyNumberFormat="1" applyFont="1" applyBorder="1">
      <alignment vertical="center"/>
    </xf>
    <xf numFmtId="0" fontId="65" fillId="0" borderId="22" xfId="24" applyNumberFormat="1" applyFont="1" applyFill="1" applyBorder="1">
      <alignment vertical="center"/>
    </xf>
    <xf numFmtId="49" fontId="68" fillId="0" borderId="21" xfId="24" applyNumberFormat="1" applyFont="1" applyFill="1" applyBorder="1" applyAlignment="1">
      <alignment horizontal="left" vertical="center" wrapText="1" indent="1"/>
    </xf>
    <xf numFmtId="41" fontId="68" fillId="0" borderId="21" xfId="25" applyNumberFormat="1" applyFont="1" applyBorder="1" applyAlignment="1">
      <alignment vertical="center" wrapText="1"/>
    </xf>
    <xf numFmtId="0" fontId="68" fillId="0" borderId="21" xfId="24" applyNumberFormat="1" applyFont="1" applyBorder="1">
      <alignment vertical="center"/>
    </xf>
    <xf numFmtId="185" fontId="68" fillId="0" borderId="21" xfId="24" applyNumberFormat="1" applyFont="1" applyBorder="1" applyAlignment="1">
      <alignment horizontal="center" vertical="center"/>
    </xf>
    <xf numFmtId="182" fontId="68" fillId="0" borderId="21" xfId="24" applyNumberFormat="1" applyFont="1" applyBorder="1">
      <alignment vertical="center"/>
    </xf>
    <xf numFmtId="182" fontId="68" fillId="0" borderId="21" xfId="24" applyNumberFormat="1" applyFont="1" applyBorder="1" applyAlignment="1">
      <alignment vertical="center"/>
    </xf>
    <xf numFmtId="0" fontId="68" fillId="0" borderId="21" xfId="24" applyNumberFormat="1" applyFont="1" applyBorder="1" applyAlignment="1">
      <alignment horizontal="center" vertical="center"/>
    </xf>
    <xf numFmtId="41" fontId="68" fillId="0" borderId="21" xfId="24" applyNumberFormat="1" applyFont="1" applyBorder="1">
      <alignment vertical="center"/>
    </xf>
    <xf numFmtId="49" fontId="84" fillId="6" borderId="21" xfId="0" applyNumberFormat="1" applyFont="1" applyFill="1" applyBorder="1">
      <alignment vertical="center"/>
    </xf>
    <xf numFmtId="0" fontId="84" fillId="6" borderId="21" xfId="0" applyFont="1" applyFill="1" applyBorder="1" applyAlignment="1">
      <alignment vertical="center"/>
    </xf>
    <xf numFmtId="224" fontId="84" fillId="6" borderId="12" xfId="1" applyNumberFormat="1" applyFont="1" applyFill="1" applyBorder="1" applyAlignment="1">
      <alignment horizontal="right" vertical="center"/>
    </xf>
    <xf numFmtId="227" fontId="84" fillId="6" borderId="13" xfId="1" applyNumberFormat="1" applyFont="1" applyFill="1" applyBorder="1" applyAlignment="1">
      <alignment horizontal="right" vertical="center"/>
    </xf>
    <xf numFmtId="211" fontId="33" fillId="0" borderId="0" xfId="0" applyNumberFormat="1" applyFont="1">
      <alignment vertical="center"/>
    </xf>
    <xf numFmtId="10" fontId="33" fillId="0" borderId="0" xfId="0" applyNumberFormat="1" applyFont="1">
      <alignment vertical="center"/>
    </xf>
    <xf numFmtId="186" fontId="68" fillId="0" borderId="0" xfId="24" applyNumberFormat="1" applyFont="1" applyFill="1" applyBorder="1" applyAlignment="1">
      <alignment vertical="center" shrinkToFit="1"/>
    </xf>
    <xf numFmtId="178" fontId="33" fillId="0" borderId="0" xfId="0" applyNumberFormat="1" applyFont="1">
      <alignment vertical="center"/>
    </xf>
    <xf numFmtId="187" fontId="68" fillId="0" borderId="0" xfId="24" applyNumberFormat="1" applyFont="1" applyBorder="1">
      <alignment vertical="center"/>
    </xf>
    <xf numFmtId="41" fontId="68" fillId="0" borderId="0" xfId="25" applyNumberFormat="1" applyFont="1" applyBorder="1">
      <alignment vertical="center"/>
    </xf>
    <xf numFmtId="49" fontId="68" fillId="0" borderId="21" xfId="24" applyNumberFormat="1" applyFont="1" applyFill="1" applyBorder="1" applyAlignment="1">
      <alignment horizontal="left" vertical="center" indent="1"/>
    </xf>
    <xf numFmtId="41" fontId="68" fillId="0" borderId="21" xfId="25" applyNumberFormat="1" applyFont="1" applyBorder="1">
      <alignment vertical="center"/>
    </xf>
    <xf numFmtId="49" fontId="68" fillId="22" borderId="37" xfId="24" applyNumberFormat="1" applyFont="1" applyFill="1" applyBorder="1">
      <alignment vertical="center"/>
    </xf>
    <xf numFmtId="41" fontId="68" fillId="22" borderId="37" xfId="25" applyNumberFormat="1" applyFont="1" applyFill="1" applyBorder="1">
      <alignment vertical="center"/>
    </xf>
    <xf numFmtId="0" fontId="68" fillId="22" borderId="37" xfId="24" applyNumberFormat="1" applyFont="1" applyFill="1" applyBorder="1">
      <alignment vertical="center"/>
    </xf>
    <xf numFmtId="0" fontId="68" fillId="22" borderId="37" xfId="24" applyNumberFormat="1" applyFont="1" applyFill="1" applyBorder="1" applyAlignment="1">
      <alignment vertical="center"/>
    </xf>
    <xf numFmtId="0" fontId="68" fillId="22" borderId="37" xfId="24" applyNumberFormat="1" applyFont="1" applyFill="1" applyBorder="1" applyAlignment="1">
      <alignment horizontal="center" vertical="center"/>
    </xf>
    <xf numFmtId="178" fontId="68" fillId="22" borderId="37" xfId="24" applyNumberFormat="1" applyFont="1" applyFill="1" applyBorder="1">
      <alignment vertical="center"/>
    </xf>
    <xf numFmtId="181" fontId="68" fillId="0" borderId="21" xfId="24" applyNumberFormat="1" applyFont="1" applyBorder="1">
      <alignment vertical="center"/>
    </xf>
    <xf numFmtId="49" fontId="39" fillId="7" borderId="25" xfId="0" applyNumberFormat="1" applyFont="1" applyFill="1" applyBorder="1">
      <alignment vertical="center"/>
    </xf>
    <xf numFmtId="0" fontId="39" fillId="7" borderId="25" xfId="0" applyFont="1" applyFill="1" applyBorder="1" applyAlignment="1">
      <alignment vertical="center"/>
    </xf>
    <xf numFmtId="0" fontId="64" fillId="0" borderId="40" xfId="3" applyNumberFormat="1" applyFont="1" applyFill="1" applyBorder="1">
      <alignment vertical="center"/>
    </xf>
    <xf numFmtId="49" fontId="68" fillId="0" borderId="0" xfId="24" applyNumberFormat="1" applyFont="1" applyBorder="1" applyAlignment="1">
      <alignment horizontal="left" vertical="center" wrapText="1" indent="1"/>
    </xf>
    <xf numFmtId="187" fontId="68" fillId="0" borderId="0" xfId="24" applyNumberFormat="1" applyFont="1" applyFill="1" applyBorder="1" applyAlignment="1" applyProtection="1">
      <alignment vertical="center"/>
    </xf>
    <xf numFmtId="49" fontId="68" fillId="0" borderId="21" xfId="24" applyNumberFormat="1" applyFont="1" applyBorder="1" applyAlignment="1">
      <alignment horizontal="left" vertical="center" wrapText="1" indent="1"/>
    </xf>
    <xf numFmtId="190" fontId="68" fillId="0" borderId="21" xfId="24" applyNumberFormat="1" applyFont="1" applyFill="1" applyBorder="1" applyAlignment="1" applyProtection="1">
      <alignment vertical="center"/>
    </xf>
    <xf numFmtId="187" fontId="68" fillId="0" borderId="21" xfId="24" applyNumberFormat="1" applyFont="1" applyBorder="1">
      <alignment vertical="center"/>
    </xf>
    <xf numFmtId="0" fontId="64" fillId="0" borderId="19" xfId="3" applyNumberFormat="1" applyFont="1" applyFill="1" applyBorder="1">
      <alignment vertical="center"/>
    </xf>
    <xf numFmtId="0" fontId="33" fillId="0" borderId="19" xfId="45" applyFont="1" applyBorder="1">
      <alignment vertical="center"/>
    </xf>
    <xf numFmtId="0" fontId="33" fillId="0" borderId="24" xfId="45" applyFont="1" applyFill="1" applyBorder="1">
      <alignment vertical="center"/>
    </xf>
    <xf numFmtId="0" fontId="84" fillId="6" borderId="25" xfId="45" applyFont="1" applyFill="1" applyBorder="1">
      <alignment vertical="center"/>
    </xf>
    <xf numFmtId="49" fontId="84" fillId="6" borderId="37" xfId="45" applyNumberFormat="1" applyFont="1" applyFill="1" applyBorder="1">
      <alignment vertical="center"/>
    </xf>
    <xf numFmtId="41" fontId="84" fillId="6" borderId="37" xfId="46" applyFont="1" applyFill="1" applyBorder="1">
      <alignment vertical="center"/>
    </xf>
    <xf numFmtId="0" fontId="84" fillId="6" borderId="37" xfId="45" applyFont="1" applyFill="1" applyBorder="1">
      <alignment vertical="center"/>
    </xf>
    <xf numFmtId="0" fontId="84" fillId="6" borderId="37" xfId="45" applyFont="1" applyFill="1" applyBorder="1" applyAlignment="1">
      <alignment vertical="center"/>
    </xf>
    <xf numFmtId="0" fontId="84" fillId="6" borderId="37" xfId="45" applyFont="1" applyFill="1" applyBorder="1" applyAlignment="1">
      <alignment horizontal="center" vertical="center"/>
    </xf>
    <xf numFmtId="0" fontId="84" fillId="6" borderId="43" xfId="45" applyFont="1" applyFill="1" applyBorder="1">
      <alignment vertical="center"/>
    </xf>
    <xf numFmtId="176" fontId="84" fillId="6" borderId="29" xfId="46" applyNumberFormat="1" applyFont="1" applyFill="1" applyBorder="1" applyAlignment="1">
      <alignment horizontal="right" vertical="center"/>
    </xf>
    <xf numFmtId="224" fontId="84" fillId="6" borderId="24" xfId="46" applyNumberFormat="1" applyFont="1" applyFill="1" applyBorder="1" applyAlignment="1">
      <alignment horizontal="right" vertical="center"/>
    </xf>
    <xf numFmtId="227" fontId="84" fillId="6" borderId="116" xfId="46" applyNumberFormat="1" applyFont="1" applyFill="1" applyBorder="1" applyAlignment="1">
      <alignment horizontal="right" vertical="center"/>
    </xf>
    <xf numFmtId="0" fontId="33" fillId="0" borderId="0" xfId="45" applyFont="1">
      <alignment vertical="center"/>
    </xf>
    <xf numFmtId="0" fontId="65" fillId="0" borderId="36" xfId="24" applyNumberFormat="1" applyFont="1" applyFill="1" applyBorder="1">
      <alignment vertical="center"/>
    </xf>
    <xf numFmtId="49" fontId="68" fillId="2" borderId="0" xfId="24" applyNumberFormat="1" applyFont="1" applyFill="1" applyBorder="1">
      <alignment vertical="center"/>
    </xf>
    <xf numFmtId="41" fontId="68" fillId="2" borderId="0" xfId="25" applyNumberFormat="1" applyFont="1" applyFill="1" applyBorder="1">
      <alignment vertical="center"/>
    </xf>
    <xf numFmtId="0" fontId="68" fillId="2" borderId="0" xfId="24" applyNumberFormat="1" applyFont="1" applyFill="1" applyBorder="1">
      <alignment vertical="center"/>
    </xf>
    <xf numFmtId="0" fontId="68" fillId="2" borderId="0" xfId="24" applyNumberFormat="1" applyFont="1" applyFill="1" applyBorder="1" applyAlignment="1">
      <alignment vertical="center"/>
    </xf>
    <xf numFmtId="0" fontId="68" fillId="2" borderId="0" xfId="24" applyNumberFormat="1" applyFont="1" applyFill="1" applyBorder="1" applyAlignment="1">
      <alignment horizontal="center" vertical="center"/>
    </xf>
    <xf numFmtId="178" fontId="68" fillId="2" borderId="0" xfId="24" applyNumberFormat="1" applyFont="1" applyFill="1" applyBorder="1">
      <alignment vertical="center"/>
    </xf>
    <xf numFmtId="176" fontId="65" fillId="2" borderId="24" xfId="25" applyNumberFormat="1" applyFont="1" applyFill="1" applyBorder="1" applyAlignment="1">
      <alignment horizontal="right" vertical="center"/>
    </xf>
    <xf numFmtId="196" fontId="68" fillId="0" borderId="21" xfId="24" applyNumberFormat="1" applyFont="1" applyBorder="1">
      <alignment vertical="center"/>
    </xf>
    <xf numFmtId="193" fontId="68" fillId="0" borderId="0" xfId="24" applyNumberFormat="1" applyFont="1" applyBorder="1">
      <alignment vertical="center"/>
    </xf>
    <xf numFmtId="0" fontId="68" fillId="0" borderId="0" xfId="24" applyNumberFormat="1" applyFont="1" applyBorder="1" applyAlignment="1">
      <alignment vertical="center"/>
    </xf>
    <xf numFmtId="217" fontId="68" fillId="0" borderId="0" xfId="24" applyNumberFormat="1" applyFont="1" applyBorder="1">
      <alignment vertical="center"/>
    </xf>
    <xf numFmtId="41" fontId="68" fillId="22" borderId="0" xfId="25" applyNumberFormat="1" applyFont="1" applyFill="1" applyBorder="1" applyAlignment="1">
      <alignment vertical="center" wrapText="1"/>
    </xf>
    <xf numFmtId="187" fontId="68" fillId="22" borderId="0" xfId="24" applyNumberFormat="1" applyFont="1" applyFill="1" applyBorder="1">
      <alignment vertical="center"/>
    </xf>
    <xf numFmtId="182" fontId="68" fillId="22" borderId="0" xfId="24" applyNumberFormat="1" applyFont="1" applyFill="1" applyBorder="1">
      <alignment vertical="center"/>
    </xf>
    <xf numFmtId="182" fontId="68" fillId="22" borderId="0" xfId="24" applyNumberFormat="1" applyFont="1" applyFill="1" applyBorder="1" applyAlignment="1">
      <alignment vertical="center"/>
    </xf>
    <xf numFmtId="178" fontId="68" fillId="0" borderId="0" xfId="24" applyNumberFormat="1" applyFont="1" applyBorder="1" applyAlignment="1">
      <alignment horizontal="center" vertical="center"/>
    </xf>
    <xf numFmtId="190" fontId="68" fillId="0" borderId="0" xfId="24" applyNumberFormat="1" applyFont="1" applyBorder="1">
      <alignment vertical="center"/>
    </xf>
    <xf numFmtId="0" fontId="68" fillId="0" borderId="21" xfId="24" applyNumberFormat="1" applyFont="1" applyBorder="1" applyAlignment="1">
      <alignment vertical="center"/>
    </xf>
    <xf numFmtId="217" fontId="68" fillId="0" borderId="21" xfId="24" applyNumberFormat="1" applyFont="1" applyBorder="1">
      <alignment vertical="center"/>
    </xf>
    <xf numFmtId="181" fontId="68" fillId="22" borderId="0" xfId="24" applyNumberFormat="1" applyFont="1" applyFill="1" applyBorder="1">
      <alignment vertical="center"/>
    </xf>
    <xf numFmtId="210" fontId="33" fillId="0" borderId="19" xfId="0" applyNumberFormat="1" applyFont="1" applyBorder="1">
      <alignment vertical="center"/>
    </xf>
    <xf numFmtId="210" fontId="33" fillId="0" borderId="24" xfId="0" applyNumberFormat="1" applyFont="1" applyFill="1" applyBorder="1">
      <alignment vertical="center"/>
    </xf>
    <xf numFmtId="210" fontId="33" fillId="0" borderId="0" xfId="0" applyNumberFormat="1" applyFont="1" applyFill="1" applyBorder="1">
      <alignment vertical="center"/>
    </xf>
    <xf numFmtId="210" fontId="33" fillId="0" borderId="29" xfId="0" applyNumberFormat="1" applyFont="1" applyFill="1" applyBorder="1">
      <alignment vertical="center"/>
    </xf>
    <xf numFmtId="210" fontId="33" fillId="0" borderId="0" xfId="0" applyNumberFormat="1" applyFont="1">
      <alignment vertical="center"/>
    </xf>
    <xf numFmtId="0" fontId="66" fillId="6" borderId="26" xfId="24" applyNumberFormat="1" applyFont="1" applyFill="1" applyBorder="1" applyAlignment="1">
      <alignment horizontal="left" vertical="center"/>
    </xf>
    <xf numFmtId="49" fontId="66" fillId="6" borderId="25" xfId="24" applyNumberFormat="1" applyFont="1" applyFill="1" applyBorder="1">
      <alignment vertical="center"/>
    </xf>
    <xf numFmtId="0" fontId="66" fillId="6" borderId="25" xfId="24" applyNumberFormat="1" applyFont="1" applyFill="1" applyBorder="1" applyAlignment="1">
      <alignment vertical="center"/>
    </xf>
    <xf numFmtId="41" fontId="66" fillId="6" borderId="25" xfId="24" applyNumberFormat="1" applyFont="1" applyFill="1" applyBorder="1">
      <alignment vertical="center"/>
    </xf>
    <xf numFmtId="227" fontId="66" fillId="6" borderId="28" xfId="25" applyNumberFormat="1" applyFont="1" applyFill="1" applyBorder="1" applyAlignment="1">
      <alignment horizontal="right" vertical="center"/>
    </xf>
    <xf numFmtId="49" fontId="33" fillId="22" borderId="0" xfId="0" applyNumberFormat="1" applyFont="1" applyFill="1" applyBorder="1">
      <alignment vertical="center"/>
    </xf>
    <xf numFmtId="0" fontId="33" fillId="22" borderId="0" xfId="0" applyFont="1" applyFill="1" applyBorder="1" applyAlignment="1">
      <alignment vertical="center"/>
    </xf>
    <xf numFmtId="210" fontId="33" fillId="0" borderId="0" xfId="0" applyNumberFormat="1" applyFont="1" applyFill="1" applyBorder="1" applyAlignment="1">
      <alignment horizontal="left" vertical="center" wrapText="1" indent="1"/>
    </xf>
    <xf numFmtId="210" fontId="33" fillId="0" borderId="0" xfId="0" applyNumberFormat="1" applyFont="1" applyBorder="1">
      <alignment vertical="center"/>
    </xf>
    <xf numFmtId="210" fontId="33" fillId="0" borderId="0" xfId="0" applyNumberFormat="1" applyFont="1" applyBorder="1" applyAlignment="1">
      <alignment vertical="center"/>
    </xf>
    <xf numFmtId="210" fontId="33" fillId="0" borderId="0" xfId="0" applyNumberFormat="1" applyFont="1" applyBorder="1" applyAlignment="1">
      <alignment horizontal="center" vertical="center"/>
    </xf>
    <xf numFmtId="227" fontId="33" fillId="0" borderId="30" xfId="2" applyNumberFormat="1" applyFont="1" applyBorder="1" applyAlignment="1">
      <alignment horizontal="right" vertical="center"/>
    </xf>
    <xf numFmtId="210" fontId="33" fillId="0" borderId="21" xfId="0" applyNumberFormat="1" applyFont="1" applyFill="1" applyBorder="1" applyAlignment="1">
      <alignment horizontal="left" vertical="center" wrapText="1" indent="1"/>
    </xf>
    <xf numFmtId="210" fontId="33" fillId="0" borderId="21" xfId="0" applyNumberFormat="1" applyFont="1" applyBorder="1">
      <alignment vertical="center"/>
    </xf>
    <xf numFmtId="210" fontId="33" fillId="0" borderId="21" xfId="0" applyNumberFormat="1" applyFont="1" applyBorder="1" applyAlignment="1">
      <alignment vertical="center"/>
    </xf>
    <xf numFmtId="210" fontId="33" fillId="0" borderId="21" xfId="0" applyNumberFormat="1" applyFont="1" applyBorder="1" applyAlignment="1">
      <alignment horizontal="center" vertical="center"/>
    </xf>
    <xf numFmtId="227" fontId="33" fillId="0" borderId="23" xfId="2" applyNumberFormat="1" applyFont="1" applyBorder="1" applyAlignment="1">
      <alignment horizontal="right" vertical="center"/>
    </xf>
    <xf numFmtId="0" fontId="33" fillId="2" borderId="0" xfId="0" applyFont="1" applyFill="1" applyBorder="1">
      <alignment vertical="center"/>
    </xf>
    <xf numFmtId="41" fontId="33" fillId="2" borderId="0" xfId="1" applyFont="1" applyFill="1" applyBorder="1">
      <alignment vertical="center"/>
    </xf>
    <xf numFmtId="0" fontId="33" fillId="2" borderId="0" xfId="0" applyFont="1" applyFill="1" applyBorder="1" applyAlignment="1">
      <alignment horizontal="center" vertical="center"/>
    </xf>
    <xf numFmtId="178" fontId="33" fillId="2" borderId="0" xfId="0" applyNumberFormat="1" applyFont="1" applyFill="1" applyBorder="1">
      <alignment vertical="center"/>
    </xf>
    <xf numFmtId="176" fontId="33" fillId="2" borderId="29" xfId="1" applyNumberFormat="1" applyFont="1" applyFill="1" applyBorder="1" applyAlignment="1">
      <alignment horizontal="right" vertical="center"/>
    </xf>
    <xf numFmtId="41" fontId="33" fillId="0" borderId="10" xfId="1" applyFont="1" applyBorder="1" applyAlignment="1">
      <alignment vertical="center" wrapText="1"/>
    </xf>
    <xf numFmtId="0" fontId="33" fillId="0" borderId="10" xfId="0" applyFont="1" applyBorder="1">
      <alignment vertical="center"/>
    </xf>
    <xf numFmtId="182" fontId="33" fillId="0" borderId="10" xfId="0" applyNumberFormat="1" applyFont="1" applyBorder="1">
      <alignment vertical="center"/>
    </xf>
    <xf numFmtId="0" fontId="33" fillId="0" borderId="10" xfId="0" applyFont="1" applyBorder="1" applyAlignment="1">
      <alignment horizontal="center" vertical="center"/>
    </xf>
    <xf numFmtId="41" fontId="33" fillId="0" borderId="10" xfId="0" applyNumberFormat="1" applyFont="1" applyBorder="1">
      <alignment vertical="center"/>
    </xf>
    <xf numFmtId="176" fontId="33" fillId="0" borderId="12" xfId="1" applyNumberFormat="1" applyFont="1" applyBorder="1" applyAlignment="1">
      <alignment horizontal="right" vertical="center"/>
    </xf>
    <xf numFmtId="224" fontId="33" fillId="0" borderId="12" xfId="1" applyNumberFormat="1" applyFont="1" applyBorder="1" applyAlignment="1">
      <alignment horizontal="right" vertical="center"/>
    </xf>
    <xf numFmtId="227" fontId="33" fillId="0" borderId="13" xfId="0" applyNumberFormat="1" applyFont="1" applyBorder="1" applyAlignment="1">
      <alignment horizontal="right" vertical="center"/>
    </xf>
    <xf numFmtId="227" fontId="33" fillId="0" borderId="0" xfId="1" applyNumberFormat="1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210" fontId="33" fillId="0" borderId="20" xfId="0" applyNumberFormat="1" applyFont="1" applyFill="1" applyBorder="1">
      <alignment vertical="center"/>
    </xf>
    <xf numFmtId="210" fontId="33" fillId="0" borderId="21" xfId="0" applyNumberFormat="1" applyFont="1" applyFill="1" applyBorder="1">
      <alignment vertical="center"/>
    </xf>
    <xf numFmtId="210" fontId="33" fillId="0" borderId="21" xfId="1" applyNumberFormat="1" applyFont="1" applyBorder="1">
      <alignment vertical="center"/>
    </xf>
    <xf numFmtId="227" fontId="33" fillId="0" borderId="28" xfId="2" applyNumberFormat="1" applyFont="1" applyBorder="1" applyAlignment="1">
      <alignment horizontal="right" vertical="center"/>
    </xf>
    <xf numFmtId="210" fontId="84" fillId="6" borderId="25" xfId="0" applyNumberFormat="1" applyFont="1" applyFill="1" applyBorder="1" applyAlignment="1">
      <alignment vertical="center"/>
    </xf>
    <xf numFmtId="210" fontId="84" fillId="6" borderId="21" xfId="0" applyNumberFormat="1" applyFont="1" applyFill="1" applyBorder="1">
      <alignment vertical="center"/>
    </xf>
    <xf numFmtId="210" fontId="84" fillId="6" borderId="21" xfId="1" applyNumberFormat="1" applyFont="1" applyFill="1" applyBorder="1">
      <alignment vertical="center"/>
    </xf>
    <xf numFmtId="210" fontId="84" fillId="6" borderId="21" xfId="0" applyNumberFormat="1" applyFont="1" applyFill="1" applyBorder="1" applyAlignment="1">
      <alignment vertical="center"/>
    </xf>
    <xf numFmtId="210" fontId="84" fillId="6" borderId="21" xfId="0" applyNumberFormat="1" applyFont="1" applyFill="1" applyBorder="1" applyAlignment="1">
      <alignment horizontal="center" vertical="center"/>
    </xf>
    <xf numFmtId="49" fontId="55" fillId="22" borderId="0" xfId="24" applyNumberFormat="1" applyFont="1" applyFill="1" applyBorder="1">
      <alignment vertical="center"/>
    </xf>
    <xf numFmtId="0" fontId="55" fillId="22" borderId="0" xfId="24" applyNumberFormat="1" applyFont="1" applyFill="1" applyBorder="1" applyAlignment="1">
      <alignment vertical="center"/>
    </xf>
    <xf numFmtId="49" fontId="55" fillId="0" borderId="0" xfId="24" applyNumberFormat="1" applyFont="1" applyFill="1" applyBorder="1" applyAlignment="1">
      <alignment horizontal="left" vertical="center" wrapText="1" indent="1"/>
    </xf>
    <xf numFmtId="41" fontId="55" fillId="0" borderId="0" xfId="6" applyNumberFormat="1" applyFont="1" applyFill="1" applyBorder="1" applyAlignment="1">
      <alignment horizontal="right" vertical="center" shrinkToFit="1"/>
    </xf>
    <xf numFmtId="0" fontId="55" fillId="0" borderId="0" xfId="24" applyNumberFormat="1" applyFont="1" applyBorder="1">
      <alignment vertical="center"/>
    </xf>
    <xf numFmtId="181" fontId="55" fillId="0" borderId="0" xfId="24" applyNumberFormat="1" applyFont="1" applyBorder="1">
      <alignment vertical="center"/>
    </xf>
    <xf numFmtId="182" fontId="55" fillId="0" borderId="0" xfId="24" applyNumberFormat="1" applyFont="1" applyBorder="1">
      <alignment vertical="center"/>
    </xf>
    <xf numFmtId="182" fontId="55" fillId="0" borderId="0" xfId="24" applyNumberFormat="1" applyFont="1" applyBorder="1" applyAlignment="1">
      <alignment vertical="center"/>
    </xf>
    <xf numFmtId="0" fontId="55" fillId="0" borderId="0" xfId="24" applyNumberFormat="1" applyFont="1" applyBorder="1" applyAlignment="1">
      <alignment horizontal="center" vertical="center"/>
    </xf>
    <xf numFmtId="41" fontId="55" fillId="0" borderId="0" xfId="24" applyNumberFormat="1" applyFont="1" applyBorder="1">
      <alignment vertical="center"/>
    </xf>
    <xf numFmtId="49" fontId="55" fillId="0" borderId="0" xfId="24" applyNumberFormat="1" applyFont="1" applyFill="1" applyBorder="1" applyAlignment="1">
      <alignment horizontal="left" vertical="center" indent="1"/>
    </xf>
    <xf numFmtId="41" fontId="55" fillId="0" borderId="0" xfId="25" applyNumberFormat="1" applyFont="1" applyBorder="1" applyAlignment="1">
      <alignment vertical="center" wrapText="1"/>
    </xf>
    <xf numFmtId="41" fontId="55" fillId="0" borderId="31" xfId="24" applyNumberFormat="1" applyFont="1" applyBorder="1">
      <alignment vertical="center"/>
    </xf>
    <xf numFmtId="176" fontId="99" fillId="4" borderId="27" xfId="25" applyNumberFormat="1" applyFont="1" applyFill="1" applyBorder="1" applyAlignment="1">
      <alignment horizontal="right" vertical="center"/>
    </xf>
    <xf numFmtId="224" fontId="99" fillId="4" borderId="27" xfId="25" applyNumberFormat="1" applyFont="1" applyFill="1" applyBorder="1" applyAlignment="1">
      <alignment horizontal="right" vertical="center"/>
    </xf>
    <xf numFmtId="227" fontId="100" fillId="4" borderId="28" xfId="29" applyNumberFormat="1" applyFont="1" applyFill="1" applyBorder="1" applyAlignment="1">
      <alignment horizontal="right" vertical="center"/>
    </xf>
    <xf numFmtId="0" fontId="39" fillId="0" borderId="0" xfId="33" applyFont="1" applyBorder="1" applyAlignment="1">
      <alignment horizontal="left" vertical="center" wrapText="1" indent="1"/>
    </xf>
    <xf numFmtId="41" fontId="99" fillId="0" borderId="0" xfId="25" applyNumberFormat="1" applyFont="1" applyBorder="1" applyAlignment="1">
      <alignment vertical="center" wrapText="1"/>
    </xf>
    <xf numFmtId="0" fontId="99" fillId="0" borderId="0" xfId="24" applyNumberFormat="1" applyFont="1" applyBorder="1">
      <alignment vertical="center"/>
    </xf>
    <xf numFmtId="181" fontId="99" fillId="0" borderId="0" xfId="24" applyNumberFormat="1" applyFont="1" applyBorder="1">
      <alignment vertical="center"/>
    </xf>
    <xf numFmtId="182" fontId="99" fillId="0" borderId="0" xfId="24" applyNumberFormat="1" applyFont="1" applyBorder="1">
      <alignment vertical="center"/>
    </xf>
    <xf numFmtId="0" fontId="99" fillId="0" borderId="0" xfId="24" applyNumberFormat="1" applyFont="1" applyBorder="1" applyAlignment="1">
      <alignment vertical="center"/>
    </xf>
    <xf numFmtId="183" fontId="99" fillId="0" borderId="0" xfId="24" applyNumberFormat="1" applyFont="1" applyBorder="1">
      <alignment vertical="center"/>
    </xf>
    <xf numFmtId="0" fontId="99" fillId="0" borderId="0" xfId="24" applyNumberFormat="1" applyFont="1" applyBorder="1" applyAlignment="1">
      <alignment horizontal="center" vertical="center"/>
    </xf>
    <xf numFmtId="41" fontId="99" fillId="0" borderId="0" xfId="24" applyNumberFormat="1" applyFont="1" applyBorder="1">
      <alignment vertical="center"/>
    </xf>
    <xf numFmtId="176" fontId="99" fillId="0" borderId="24" xfId="25" applyNumberFormat="1" applyFont="1" applyBorder="1" applyAlignment="1">
      <alignment horizontal="right" vertical="center"/>
    </xf>
    <xf numFmtId="224" fontId="99" fillId="0" borderId="24" xfId="25" applyNumberFormat="1" applyFont="1" applyBorder="1" applyAlignment="1">
      <alignment horizontal="right" vertical="center"/>
    </xf>
    <xf numFmtId="227" fontId="100" fillId="0" borderId="30" xfId="24" applyNumberFormat="1" applyFont="1" applyBorder="1" applyAlignment="1">
      <alignment horizontal="right" vertical="center"/>
    </xf>
    <xf numFmtId="210" fontId="33" fillId="0" borderId="22" xfId="0" applyNumberFormat="1" applyFont="1" applyFill="1" applyBorder="1">
      <alignment vertical="center"/>
    </xf>
    <xf numFmtId="49" fontId="55" fillId="0" borderId="21" xfId="24" applyNumberFormat="1" applyFont="1" applyFill="1" applyBorder="1" applyAlignment="1">
      <alignment horizontal="left" vertical="center" wrapText="1" indent="1"/>
    </xf>
    <xf numFmtId="41" fontId="55" fillId="0" borderId="21" xfId="25" applyNumberFormat="1" applyFont="1" applyBorder="1" applyAlignment="1">
      <alignment vertical="center" wrapText="1"/>
    </xf>
    <xf numFmtId="0" fontId="55" fillId="0" borderId="21" xfId="24" applyNumberFormat="1" applyFont="1" applyBorder="1">
      <alignment vertical="center"/>
    </xf>
    <xf numFmtId="185" fontId="55" fillId="0" borderId="21" xfId="24" applyNumberFormat="1" applyFont="1" applyBorder="1" applyAlignment="1">
      <alignment horizontal="center" vertical="center"/>
    </xf>
    <xf numFmtId="182" fontId="55" fillId="0" borderId="21" xfId="24" applyNumberFormat="1" applyFont="1" applyBorder="1">
      <alignment vertical="center"/>
    </xf>
    <xf numFmtId="182" fontId="55" fillId="0" borderId="21" xfId="24" applyNumberFormat="1" applyFont="1" applyBorder="1" applyAlignment="1">
      <alignment vertical="center"/>
    </xf>
    <xf numFmtId="0" fontId="55" fillId="0" borderId="21" xfId="24" applyNumberFormat="1" applyFont="1" applyBorder="1" applyAlignment="1">
      <alignment horizontal="center" vertical="center"/>
    </xf>
    <xf numFmtId="41" fontId="55" fillId="0" borderId="21" xfId="24" applyNumberFormat="1" applyFont="1" applyBorder="1">
      <alignment vertical="center"/>
    </xf>
    <xf numFmtId="227" fontId="84" fillId="6" borderId="13" xfId="2" applyNumberFormat="1" applyFont="1" applyFill="1" applyBorder="1" applyAlignment="1">
      <alignment horizontal="right" vertical="center"/>
    </xf>
    <xf numFmtId="210" fontId="33" fillId="0" borderId="0" xfId="1" applyNumberFormat="1" applyFont="1" applyBorder="1" applyAlignment="1">
      <alignment vertical="center" wrapText="1"/>
    </xf>
    <xf numFmtId="186" fontId="39" fillId="0" borderId="0" xfId="0" applyNumberFormat="1" applyFont="1" applyFill="1" applyBorder="1" applyAlignment="1">
      <alignment vertical="center" shrinkToFit="1"/>
    </xf>
    <xf numFmtId="210" fontId="33" fillId="0" borderId="0" xfId="0" applyNumberFormat="1" applyFont="1" applyFill="1" applyBorder="1" applyAlignment="1">
      <alignment horizontal="left" vertical="center" indent="1"/>
    </xf>
    <xf numFmtId="186" fontId="39" fillId="0" borderId="21" xfId="0" applyNumberFormat="1" applyFont="1" applyFill="1" applyBorder="1" applyAlignment="1">
      <alignment vertical="center" shrinkToFit="1"/>
    </xf>
    <xf numFmtId="202" fontId="33" fillId="0" borderId="19" xfId="0" applyNumberFormat="1" applyFont="1" applyBorder="1">
      <alignment vertical="center"/>
    </xf>
    <xf numFmtId="202" fontId="33" fillId="0" borderId="24" xfId="0" applyNumberFormat="1" applyFont="1" applyFill="1" applyBorder="1">
      <alignment vertical="center"/>
    </xf>
    <xf numFmtId="202" fontId="33" fillId="0" borderId="0" xfId="0" applyNumberFormat="1" applyFont="1" applyFill="1" applyBorder="1">
      <alignment vertical="center"/>
    </xf>
    <xf numFmtId="202" fontId="33" fillId="0" borderId="0" xfId="0" applyNumberFormat="1" applyFont="1">
      <alignment vertical="center"/>
    </xf>
    <xf numFmtId="41" fontId="55" fillId="0" borderId="0" xfId="25" applyNumberFormat="1" applyFont="1" applyBorder="1">
      <alignment vertical="center"/>
    </xf>
    <xf numFmtId="49" fontId="55" fillId="22" borderId="37" xfId="24" applyNumberFormat="1" applyFont="1" applyFill="1" applyBorder="1">
      <alignment vertical="center"/>
    </xf>
    <xf numFmtId="41" fontId="55" fillId="22" borderId="37" xfId="25" applyNumberFormat="1" applyFont="1" applyFill="1" applyBorder="1">
      <alignment vertical="center"/>
    </xf>
    <xf numFmtId="0" fontId="55" fillId="22" borderId="37" xfId="24" applyNumberFormat="1" applyFont="1" applyFill="1" applyBorder="1">
      <alignment vertical="center"/>
    </xf>
    <xf numFmtId="0" fontId="55" fillId="22" borderId="37" xfId="24" applyNumberFormat="1" applyFont="1" applyFill="1" applyBorder="1" applyAlignment="1">
      <alignment vertical="center"/>
    </xf>
    <xf numFmtId="0" fontId="55" fillId="22" borderId="37" xfId="24" applyNumberFormat="1" applyFont="1" applyFill="1" applyBorder="1" applyAlignment="1">
      <alignment horizontal="center" vertical="center"/>
    </xf>
    <xf numFmtId="178" fontId="55" fillId="22" borderId="37" xfId="24" applyNumberFormat="1" applyFont="1" applyFill="1" applyBorder="1">
      <alignment vertical="center"/>
    </xf>
    <xf numFmtId="187" fontId="55" fillId="0" borderId="21" xfId="24" applyNumberFormat="1" applyFont="1" applyBorder="1">
      <alignment vertical="center"/>
    </xf>
    <xf numFmtId="180" fontId="55" fillId="0" borderId="0" xfId="24" applyNumberFormat="1" applyFont="1" applyBorder="1">
      <alignment vertical="center"/>
    </xf>
    <xf numFmtId="196" fontId="55" fillId="0" borderId="0" xfId="24" applyNumberFormat="1" applyFont="1" applyBorder="1">
      <alignment vertical="center"/>
    </xf>
    <xf numFmtId="187" fontId="55" fillId="0" borderId="0" xfId="24" applyNumberFormat="1" applyFont="1" applyBorder="1">
      <alignment vertical="center"/>
    </xf>
    <xf numFmtId="210" fontId="64" fillId="0" borderId="40" xfId="3" applyNumberFormat="1" applyFont="1" applyFill="1" applyBorder="1">
      <alignment vertical="center"/>
    </xf>
    <xf numFmtId="210" fontId="64" fillId="0" borderId="24" xfId="3" applyNumberFormat="1" applyFont="1" applyFill="1" applyBorder="1">
      <alignment vertical="center"/>
    </xf>
    <xf numFmtId="210" fontId="64" fillId="0" borderId="0" xfId="3" applyNumberFormat="1" applyFont="1">
      <alignment vertical="center"/>
    </xf>
    <xf numFmtId="49" fontId="55" fillId="0" borderId="0" xfId="24" applyNumberFormat="1" applyFont="1" applyBorder="1" applyAlignment="1">
      <alignment horizontal="left" vertical="center" wrapText="1" indent="1"/>
    </xf>
    <xf numFmtId="0" fontId="66" fillId="6" borderId="20" xfId="24" applyNumberFormat="1" applyFont="1" applyFill="1" applyBorder="1">
      <alignment vertical="center"/>
    </xf>
    <xf numFmtId="49" fontId="66" fillId="6" borderId="21" xfId="24" applyNumberFormat="1" applyFont="1" applyFill="1" applyBorder="1">
      <alignment vertical="center"/>
    </xf>
    <xf numFmtId="41" fontId="66" fillId="6" borderId="21" xfId="25" applyNumberFormat="1" applyFont="1" applyFill="1" applyBorder="1">
      <alignment vertical="center"/>
    </xf>
    <xf numFmtId="0" fontId="66" fillId="6" borderId="21" xfId="24" applyNumberFormat="1" applyFont="1" applyFill="1" applyBorder="1">
      <alignment vertical="center"/>
    </xf>
    <xf numFmtId="0" fontId="66" fillId="6" borderId="21" xfId="24" applyNumberFormat="1" applyFont="1" applyFill="1" applyBorder="1" applyAlignment="1">
      <alignment vertical="center"/>
    </xf>
    <xf numFmtId="0" fontId="66" fillId="6" borderId="21" xfId="24" applyNumberFormat="1" applyFont="1" applyFill="1" applyBorder="1" applyAlignment="1">
      <alignment horizontal="center" vertical="center"/>
    </xf>
    <xf numFmtId="176" fontId="66" fillId="6" borderId="22" xfId="25" applyNumberFormat="1" applyFont="1" applyFill="1" applyBorder="1" applyAlignment="1">
      <alignment horizontal="right" vertical="center"/>
    </xf>
    <xf numFmtId="227" fontId="66" fillId="6" borderId="23" xfId="29" applyNumberFormat="1" applyFont="1" applyFill="1" applyBorder="1" applyAlignment="1">
      <alignment horizontal="right" vertical="center"/>
    </xf>
    <xf numFmtId="0" fontId="65" fillId="0" borderId="35" xfId="24" applyNumberFormat="1" applyFont="1" applyBorder="1">
      <alignment vertical="center"/>
    </xf>
    <xf numFmtId="49" fontId="55" fillId="22" borderId="21" xfId="24" applyNumberFormat="1" applyFont="1" applyFill="1" applyBorder="1">
      <alignment vertical="center"/>
    </xf>
    <xf numFmtId="41" fontId="55" fillId="22" borderId="21" xfId="25" applyNumberFormat="1" applyFont="1" applyFill="1" applyBorder="1">
      <alignment vertical="center"/>
    </xf>
    <xf numFmtId="0" fontId="55" fillId="22" borderId="21" xfId="24" applyNumberFormat="1" applyFont="1" applyFill="1" applyBorder="1">
      <alignment vertical="center"/>
    </xf>
    <xf numFmtId="0" fontId="55" fillId="22" borderId="21" xfId="24" applyNumberFormat="1" applyFont="1" applyFill="1" applyBorder="1" applyAlignment="1">
      <alignment vertical="center"/>
    </xf>
    <xf numFmtId="0" fontId="55" fillId="22" borderId="21" xfId="24" applyNumberFormat="1" applyFont="1" applyFill="1" applyBorder="1" applyAlignment="1">
      <alignment horizontal="center" vertical="center"/>
    </xf>
    <xf numFmtId="178" fontId="55" fillId="22" borderId="21" xfId="24" applyNumberFormat="1" applyFont="1" applyFill="1" applyBorder="1">
      <alignment vertical="center"/>
    </xf>
    <xf numFmtId="224" fontId="65" fillId="22" borderId="22" xfId="25" applyNumberFormat="1" applyFont="1" applyFill="1" applyBorder="1" applyAlignment="1">
      <alignment horizontal="right" vertical="center"/>
    </xf>
    <xf numFmtId="227" fontId="65" fillId="22" borderId="23" xfId="2" applyNumberFormat="1" applyFont="1" applyFill="1" applyBorder="1" applyAlignment="1">
      <alignment horizontal="right" vertical="center"/>
    </xf>
    <xf numFmtId="49" fontId="55" fillId="0" borderId="0" xfId="24" applyNumberFormat="1" applyFont="1" applyFill="1" applyBorder="1">
      <alignment vertical="center"/>
    </xf>
    <xf numFmtId="0" fontId="55" fillId="0" borderId="0" xfId="24" applyNumberFormat="1" applyFont="1" applyBorder="1" applyAlignment="1">
      <alignment vertical="center"/>
    </xf>
    <xf numFmtId="178" fontId="55" fillId="0" borderId="0" xfId="24" applyNumberFormat="1" applyFont="1" applyBorder="1">
      <alignment vertical="center"/>
    </xf>
    <xf numFmtId="193" fontId="55" fillId="0" borderId="0" xfId="24" applyNumberFormat="1" applyFont="1" applyBorder="1">
      <alignment vertical="center"/>
    </xf>
    <xf numFmtId="41" fontId="55" fillId="0" borderId="0" xfId="1" applyFont="1" applyBorder="1">
      <alignment vertical="center"/>
    </xf>
    <xf numFmtId="0" fontId="55" fillId="0" borderId="10" xfId="24" applyNumberFormat="1" applyFont="1" applyBorder="1" applyAlignment="1">
      <alignment horizontal="left" vertical="center" wrapText="1" indent="1"/>
    </xf>
    <xf numFmtId="41" fontId="55" fillId="0" borderId="10" xfId="25" applyNumberFormat="1" applyFont="1" applyBorder="1" applyAlignment="1">
      <alignment vertical="center" wrapText="1"/>
    </xf>
    <xf numFmtId="0" fontId="55" fillId="0" borderId="10" xfId="24" applyNumberFormat="1" applyFont="1" applyBorder="1">
      <alignment vertical="center"/>
    </xf>
    <xf numFmtId="218" fontId="55" fillId="0" borderId="10" xfId="24" applyNumberFormat="1" applyFont="1" applyFill="1" applyBorder="1" applyAlignment="1" applyProtection="1">
      <alignment vertical="center"/>
    </xf>
    <xf numFmtId="182" fontId="55" fillId="0" borderId="10" xfId="24" applyNumberFormat="1" applyFont="1" applyBorder="1">
      <alignment vertical="center"/>
    </xf>
    <xf numFmtId="0" fontId="55" fillId="0" borderId="10" xfId="24" applyNumberFormat="1" applyFont="1" applyBorder="1" applyAlignment="1">
      <alignment horizontal="center" vertical="center"/>
    </xf>
    <xf numFmtId="41" fontId="55" fillId="0" borderId="10" xfId="24" applyNumberFormat="1" applyFont="1" applyBorder="1">
      <alignment vertical="center"/>
    </xf>
    <xf numFmtId="49" fontId="64" fillId="2" borderId="34" xfId="24" applyNumberFormat="1" applyFont="1" applyFill="1" applyBorder="1" applyAlignment="1">
      <alignment horizontal="center" vertical="center"/>
    </xf>
    <xf numFmtId="0" fontId="64" fillId="2" borderId="7" xfId="24" applyNumberFormat="1" applyFont="1" applyFill="1" applyBorder="1" applyAlignment="1">
      <alignment horizontal="center" vertical="center"/>
    </xf>
    <xf numFmtId="0" fontId="64" fillId="2" borderId="8" xfId="24" applyNumberFormat="1" applyFont="1" applyFill="1" applyBorder="1" applyAlignment="1">
      <alignment horizontal="center" vertical="center"/>
    </xf>
    <xf numFmtId="49" fontId="64" fillId="2" borderId="9" xfId="24" applyNumberFormat="1" applyFont="1" applyFill="1" applyBorder="1" applyAlignment="1">
      <alignment horizontal="center" vertical="center"/>
    </xf>
    <xf numFmtId="49" fontId="65" fillId="22" borderId="0" xfId="24" applyNumberFormat="1" applyFont="1" applyFill="1" applyBorder="1">
      <alignment vertical="center"/>
    </xf>
    <xf numFmtId="0" fontId="65" fillId="22" borderId="0" xfId="24" applyNumberFormat="1" applyFont="1" applyFill="1" applyBorder="1" applyAlignment="1">
      <alignment vertical="center"/>
    </xf>
    <xf numFmtId="49" fontId="65" fillId="0" borderId="0" xfId="24" applyNumberFormat="1" applyFont="1" applyFill="1" applyBorder="1" applyAlignment="1">
      <alignment horizontal="left" vertical="center" indent="1"/>
    </xf>
    <xf numFmtId="182" fontId="65" fillId="0" borderId="0" xfId="24" applyNumberFormat="1" applyFont="1" applyBorder="1" applyAlignment="1">
      <alignment vertical="center"/>
    </xf>
    <xf numFmtId="49" fontId="65" fillId="0" borderId="0" xfId="24" applyNumberFormat="1" applyFont="1" applyFill="1" applyBorder="1" applyAlignment="1">
      <alignment horizontal="left" vertical="center" wrapText="1" indent="1"/>
    </xf>
    <xf numFmtId="0" fontId="65" fillId="0" borderId="0" xfId="24" applyNumberFormat="1" applyFont="1" applyBorder="1" applyAlignment="1">
      <alignment vertical="center"/>
    </xf>
    <xf numFmtId="41" fontId="65" fillId="0" borderId="0" xfId="25" applyFont="1" applyBorder="1">
      <alignment vertical="center"/>
    </xf>
    <xf numFmtId="219" fontId="65" fillId="0" borderId="0" xfId="25" applyNumberFormat="1" applyFont="1" applyBorder="1" applyAlignment="1">
      <alignment vertical="center" wrapText="1"/>
    </xf>
    <xf numFmtId="183" fontId="65" fillId="0" borderId="0" xfId="24" applyNumberFormat="1" applyFont="1" applyBorder="1">
      <alignment vertical="center"/>
    </xf>
    <xf numFmtId="41" fontId="39" fillId="0" borderId="0" xfId="27" applyFont="1" applyBorder="1" applyAlignment="1">
      <alignment vertical="center" wrapText="1"/>
    </xf>
    <xf numFmtId="0" fontId="39" fillId="0" borderId="0" xfId="33" applyFont="1" applyBorder="1">
      <alignment vertical="center"/>
    </xf>
    <xf numFmtId="182" fontId="39" fillId="0" borderId="0" xfId="33" applyNumberFormat="1" applyFont="1" applyBorder="1">
      <alignment vertical="center"/>
    </xf>
    <xf numFmtId="182" fontId="39" fillId="0" borderId="0" xfId="33" applyNumberFormat="1" applyFont="1" applyBorder="1" applyAlignment="1">
      <alignment vertical="center"/>
    </xf>
    <xf numFmtId="0" fontId="39" fillId="0" borderId="0" xfId="33" applyFont="1" applyBorder="1" applyAlignment="1">
      <alignment horizontal="center" vertical="center"/>
    </xf>
    <xf numFmtId="41" fontId="39" fillId="0" borderId="0" xfId="33" applyNumberFormat="1" applyFont="1" applyBorder="1">
      <alignment vertical="center"/>
    </xf>
    <xf numFmtId="49" fontId="39" fillId="0" borderId="0" xfId="26" applyNumberFormat="1" applyFont="1" applyFill="1" applyBorder="1" applyAlignment="1">
      <alignment horizontal="left" vertical="center" wrapText="1" indent="1"/>
    </xf>
    <xf numFmtId="0" fontId="39" fillId="0" borderId="0" xfId="26" applyFont="1" applyBorder="1">
      <alignment vertical="center"/>
    </xf>
    <xf numFmtId="182" fontId="39" fillId="0" borderId="0" xfId="26" applyNumberFormat="1" applyFont="1" applyBorder="1">
      <alignment vertical="center"/>
    </xf>
    <xf numFmtId="182" fontId="39" fillId="0" borderId="0" xfId="26" applyNumberFormat="1" applyFont="1" applyBorder="1" applyAlignment="1">
      <alignment vertical="center"/>
    </xf>
    <xf numFmtId="0" fontId="39" fillId="0" borderId="0" xfId="26" applyFont="1" applyBorder="1" applyAlignment="1">
      <alignment horizontal="center" vertical="center"/>
    </xf>
    <xf numFmtId="41" fontId="39" fillId="0" borderId="0" xfId="26" applyNumberFormat="1" applyFont="1" applyBorder="1">
      <alignment vertical="center"/>
    </xf>
    <xf numFmtId="49" fontId="39" fillId="0" borderId="0" xfId="26" applyNumberFormat="1" applyFont="1" applyFill="1" applyBorder="1" applyAlignment="1">
      <alignment horizontal="left" vertical="center" indent="1"/>
    </xf>
    <xf numFmtId="220" fontId="65" fillId="0" borderId="21" xfId="24" applyNumberFormat="1" applyFont="1" applyFill="1" applyBorder="1" applyAlignment="1" applyProtection="1">
      <alignment vertical="center"/>
    </xf>
    <xf numFmtId="220" fontId="65" fillId="0" borderId="0" xfId="24" applyNumberFormat="1" applyFont="1" applyFill="1" applyBorder="1" applyAlignment="1" applyProtection="1">
      <alignment vertical="center"/>
    </xf>
    <xf numFmtId="49" fontId="65" fillId="0" borderId="21" xfId="24" applyNumberFormat="1" applyFont="1" applyFill="1" applyBorder="1" applyAlignment="1">
      <alignment horizontal="left" vertical="center" wrapText="1" indent="1"/>
    </xf>
    <xf numFmtId="182" fontId="65" fillId="0" borderId="21" xfId="24" applyNumberFormat="1" applyFont="1" applyBorder="1" applyAlignment="1">
      <alignment vertical="center"/>
    </xf>
    <xf numFmtId="41" fontId="39" fillId="0" borderId="21" xfId="26" applyNumberFormat="1" applyFont="1" applyBorder="1">
      <alignment vertical="center"/>
    </xf>
    <xf numFmtId="41" fontId="65" fillId="0" borderId="21" xfId="25" applyNumberFormat="1" applyFont="1" applyFill="1" applyBorder="1" applyAlignment="1">
      <alignment vertical="center" wrapText="1"/>
    </xf>
    <xf numFmtId="182" fontId="65" fillId="0" borderId="21" xfId="24" applyNumberFormat="1" applyFont="1" applyFill="1" applyBorder="1" applyAlignment="1">
      <alignment vertical="center"/>
    </xf>
    <xf numFmtId="182" fontId="65" fillId="0" borderId="21" xfId="24" applyNumberFormat="1" applyFont="1" applyFill="1" applyBorder="1">
      <alignment vertical="center"/>
    </xf>
    <xf numFmtId="0" fontId="65" fillId="0" borderId="21" xfId="24" applyNumberFormat="1" applyFont="1" applyFill="1" applyBorder="1" applyAlignment="1">
      <alignment horizontal="center" vertical="center"/>
    </xf>
    <xf numFmtId="176" fontId="65" fillId="4" borderId="22" xfId="25" applyNumberFormat="1" applyFont="1" applyFill="1" applyBorder="1" applyAlignment="1">
      <alignment horizontal="right" vertical="center"/>
    </xf>
    <xf numFmtId="224" fontId="65" fillId="4" borderId="22" xfId="25" applyNumberFormat="1" applyFont="1" applyFill="1" applyBorder="1" applyAlignment="1">
      <alignment horizontal="right" vertical="center"/>
    </xf>
    <xf numFmtId="227" fontId="65" fillId="4" borderId="23" xfId="29" applyNumberFormat="1" applyFont="1" applyFill="1" applyBorder="1" applyAlignment="1">
      <alignment horizontal="right" vertical="center"/>
    </xf>
    <xf numFmtId="49" fontId="33" fillId="22" borderId="37" xfId="0" applyNumberFormat="1" applyFont="1" applyFill="1" applyBorder="1">
      <alignment vertical="center"/>
    </xf>
    <xf numFmtId="178" fontId="33" fillId="22" borderId="37" xfId="0" applyNumberFormat="1" applyFont="1" applyFill="1" applyBorder="1">
      <alignment vertical="center"/>
    </xf>
    <xf numFmtId="49" fontId="65" fillId="0" borderId="0" xfId="24" applyNumberFormat="1" applyFont="1" applyFill="1" applyBorder="1">
      <alignment vertical="center"/>
    </xf>
    <xf numFmtId="0" fontId="65" fillId="0" borderId="0" xfId="24" applyNumberFormat="1" applyFont="1" applyFill="1" applyBorder="1" applyAlignment="1" applyProtection="1">
      <alignment horizontal="right" vertical="center"/>
    </xf>
    <xf numFmtId="0" fontId="96" fillId="3" borderId="25" xfId="24" applyNumberFormat="1" applyFont="1" applyFill="1" applyBorder="1">
      <alignment vertical="center"/>
    </xf>
    <xf numFmtId="221" fontId="65" fillId="0" borderId="21" xfId="24" applyNumberFormat="1" applyFont="1" applyFill="1" applyBorder="1" applyAlignment="1" applyProtection="1">
      <alignment vertical="center"/>
    </xf>
    <xf numFmtId="176" fontId="39" fillId="8" borderId="27" xfId="1" applyNumberFormat="1" applyFont="1" applyFill="1" applyBorder="1" applyAlignment="1">
      <alignment horizontal="right" vertical="center"/>
    </xf>
    <xf numFmtId="221" fontId="65" fillId="0" borderId="0" xfId="24" applyNumberFormat="1" applyFont="1" applyFill="1" applyBorder="1" applyAlignment="1" applyProtection="1">
      <alignment vertical="center"/>
    </xf>
    <xf numFmtId="220" fontId="55" fillId="0" borderId="0" xfId="24" applyNumberFormat="1" applyFont="1" applyFill="1" applyBorder="1" applyAlignment="1" applyProtection="1">
      <alignment vertical="center"/>
    </xf>
    <xf numFmtId="199" fontId="65" fillId="0" borderId="0" xfId="24" applyNumberFormat="1" applyFont="1" applyBorder="1">
      <alignment vertical="center"/>
    </xf>
    <xf numFmtId="222" fontId="65" fillId="0" borderId="21" xfId="24" applyNumberFormat="1" applyFont="1" applyFill="1" applyBorder="1" applyAlignment="1" applyProtection="1">
      <alignment vertical="center"/>
    </xf>
    <xf numFmtId="41" fontId="65" fillId="0" borderId="0" xfId="25" applyNumberFormat="1" applyFont="1" applyFill="1" applyBorder="1">
      <alignment vertical="center"/>
    </xf>
    <xf numFmtId="180" fontId="65" fillId="0" borderId="0" xfId="24" applyNumberFormat="1" applyFont="1" applyFill="1" applyBorder="1">
      <alignment vertical="center"/>
    </xf>
    <xf numFmtId="0" fontId="65" fillId="0" borderId="0" xfId="24" applyNumberFormat="1" applyFont="1" applyFill="1" applyBorder="1" applyAlignment="1">
      <alignment vertical="center"/>
    </xf>
    <xf numFmtId="41" fontId="65" fillId="0" borderId="0" xfId="1" applyFont="1">
      <alignment vertical="center"/>
    </xf>
    <xf numFmtId="41" fontId="65" fillId="0" borderId="21" xfId="25" applyNumberFormat="1" applyFont="1" applyFill="1" applyBorder="1">
      <alignment vertical="center"/>
    </xf>
    <xf numFmtId="187" fontId="65" fillId="0" borderId="21" xfId="24" applyNumberFormat="1" applyFont="1" applyFill="1" applyBorder="1">
      <alignment vertical="center"/>
    </xf>
    <xf numFmtId="199" fontId="65" fillId="0" borderId="21" xfId="24" applyNumberFormat="1" applyFont="1" applyFill="1" applyBorder="1">
      <alignment vertical="center"/>
    </xf>
    <xf numFmtId="0" fontId="65" fillId="0" borderId="21" xfId="24" applyNumberFormat="1" applyFont="1" applyFill="1" applyBorder="1" applyAlignment="1">
      <alignment vertical="center"/>
    </xf>
    <xf numFmtId="41" fontId="65" fillId="0" borderId="21" xfId="24" applyNumberFormat="1" applyFont="1" applyFill="1" applyBorder="1">
      <alignment vertical="center"/>
    </xf>
    <xf numFmtId="176" fontId="65" fillId="0" borderId="22" xfId="25" applyNumberFormat="1" applyFont="1" applyFill="1" applyBorder="1" applyAlignment="1">
      <alignment horizontal="right" vertical="center"/>
    </xf>
    <xf numFmtId="224" fontId="65" fillId="0" borderId="22" xfId="25" applyNumberFormat="1" applyFont="1" applyFill="1" applyBorder="1" applyAlignment="1">
      <alignment horizontal="right" vertical="center"/>
    </xf>
    <xf numFmtId="227" fontId="65" fillId="0" borderId="23" xfId="24" applyNumberFormat="1" applyFont="1" applyFill="1" applyBorder="1" applyAlignment="1">
      <alignment horizontal="right" vertical="center"/>
    </xf>
    <xf numFmtId="0" fontId="33" fillId="0" borderId="25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223" fontId="65" fillId="0" borderId="0" xfId="24" applyNumberFormat="1" applyFont="1" applyFill="1" applyBorder="1" applyAlignment="1" applyProtection="1">
      <alignment vertical="center"/>
    </xf>
    <xf numFmtId="185" fontId="65" fillId="0" borderId="0" xfId="24" applyNumberFormat="1" applyFont="1" applyBorder="1" applyAlignment="1">
      <alignment vertical="center"/>
    </xf>
    <xf numFmtId="41" fontId="65" fillId="0" borderId="0" xfId="25" applyNumberFormat="1" applyFont="1" applyFill="1" applyBorder="1" applyAlignment="1">
      <alignment vertical="center" wrapText="1"/>
    </xf>
    <xf numFmtId="186" fontId="65" fillId="0" borderId="0" xfId="24" applyNumberFormat="1" applyFont="1" applyFill="1" applyBorder="1" applyAlignment="1">
      <alignment vertical="center" shrinkToFit="1"/>
    </xf>
    <xf numFmtId="182" fontId="65" fillId="0" borderId="0" xfId="24" applyNumberFormat="1" applyFont="1" applyFill="1" applyBorder="1" applyAlignment="1">
      <alignment vertical="center"/>
    </xf>
    <xf numFmtId="182" fontId="65" fillId="0" borderId="0" xfId="24" applyNumberFormat="1" applyFont="1" applyFill="1" applyBorder="1">
      <alignment vertical="center"/>
    </xf>
    <xf numFmtId="0" fontId="33" fillId="0" borderId="24" xfId="0" applyFont="1" applyBorder="1">
      <alignment vertical="center"/>
    </xf>
    <xf numFmtId="223" fontId="65" fillId="0" borderId="21" xfId="24" applyNumberFormat="1" applyFont="1" applyFill="1" applyBorder="1" applyAlignment="1" applyProtection="1">
      <alignment vertical="center"/>
    </xf>
    <xf numFmtId="49" fontId="65" fillId="22" borderId="21" xfId="24" applyNumberFormat="1" applyFont="1" applyFill="1" applyBorder="1">
      <alignment vertical="center"/>
    </xf>
    <xf numFmtId="41" fontId="65" fillId="22" borderId="21" xfId="25" applyNumberFormat="1" applyFont="1" applyFill="1" applyBorder="1">
      <alignment vertical="center"/>
    </xf>
    <xf numFmtId="0" fontId="65" fillId="22" borderId="21" xfId="24" applyNumberFormat="1" applyFont="1" applyFill="1" applyBorder="1">
      <alignment vertical="center"/>
    </xf>
    <xf numFmtId="0" fontId="65" fillId="22" borderId="21" xfId="24" applyNumberFormat="1" applyFont="1" applyFill="1" applyBorder="1" applyAlignment="1">
      <alignment vertical="center"/>
    </xf>
    <xf numFmtId="0" fontId="65" fillId="22" borderId="21" xfId="24" applyNumberFormat="1" applyFont="1" applyFill="1" applyBorder="1" applyAlignment="1">
      <alignment horizontal="center" vertical="center"/>
    </xf>
    <xf numFmtId="178" fontId="65" fillId="22" borderId="21" xfId="24" applyNumberFormat="1" applyFont="1" applyFill="1" applyBorder="1">
      <alignment vertical="center"/>
    </xf>
    <xf numFmtId="41" fontId="55" fillId="0" borderId="21" xfId="25" applyNumberFormat="1" applyFont="1" applyBorder="1">
      <alignment vertical="center"/>
    </xf>
    <xf numFmtId="220" fontId="55" fillId="0" borderId="21" xfId="24" applyNumberFormat="1" applyFont="1" applyFill="1" applyBorder="1" applyAlignment="1" applyProtection="1">
      <alignment vertical="center"/>
    </xf>
    <xf numFmtId="0" fontId="65" fillId="0" borderId="21" xfId="24" applyNumberFormat="1" applyFont="1" applyBorder="1" applyAlignment="1">
      <alignment vertical="center"/>
    </xf>
    <xf numFmtId="49" fontId="65" fillId="0" borderId="10" xfId="24" applyNumberFormat="1" applyFont="1" applyFill="1" applyBorder="1" applyAlignment="1">
      <alignment horizontal="left" vertical="center" wrapText="1" indent="1"/>
    </xf>
    <xf numFmtId="218" fontId="65" fillId="0" borderId="10" xfId="24" applyNumberFormat="1" applyFont="1" applyFill="1" applyBorder="1" applyAlignment="1" applyProtection="1">
      <alignment vertical="center"/>
    </xf>
    <xf numFmtId="0" fontId="33" fillId="0" borderId="0" xfId="11" applyFont="1">
      <alignment vertical="center"/>
    </xf>
    <xf numFmtId="0" fontId="33" fillId="0" borderId="0" xfId="11" applyFont="1" applyFill="1">
      <alignment vertical="center"/>
    </xf>
    <xf numFmtId="49" fontId="33" fillId="0" borderId="0" xfId="11" applyNumberFormat="1" applyFont="1" applyFill="1">
      <alignment vertical="center"/>
    </xf>
    <xf numFmtId="41" fontId="33" fillId="0" borderId="0" xfId="12" applyFont="1">
      <alignment vertical="center"/>
    </xf>
    <xf numFmtId="0" fontId="33" fillId="0" borderId="0" xfId="11" applyFont="1" applyAlignment="1">
      <alignment vertical="center"/>
    </xf>
    <xf numFmtId="0" fontId="33" fillId="0" borderId="0" xfId="11" applyFont="1" applyAlignment="1">
      <alignment horizontal="center" vertical="center"/>
    </xf>
    <xf numFmtId="176" fontId="33" fillId="0" borderId="0" xfId="12" applyNumberFormat="1" applyFont="1" applyAlignment="1">
      <alignment horizontal="right" vertical="center"/>
    </xf>
    <xf numFmtId="41" fontId="33" fillId="0" borderId="0" xfId="12" applyFont="1" applyAlignment="1">
      <alignment horizontal="right" vertical="center"/>
    </xf>
    <xf numFmtId="0" fontId="84" fillId="6" borderId="32" xfId="11" applyFont="1" applyFill="1" applyBorder="1" applyAlignment="1">
      <alignment vertical="center"/>
    </xf>
    <xf numFmtId="0" fontId="84" fillId="6" borderId="10" xfId="11" applyFont="1" applyFill="1" applyBorder="1" applyAlignment="1">
      <alignment vertical="center"/>
    </xf>
    <xf numFmtId="49" fontId="84" fillId="6" borderId="10" xfId="11" applyNumberFormat="1" applyFont="1" applyFill="1" applyBorder="1" applyAlignment="1">
      <alignment vertical="center"/>
    </xf>
    <xf numFmtId="41" fontId="84" fillId="6" borderId="16" xfId="12" applyFont="1" applyFill="1" applyBorder="1">
      <alignment vertical="center"/>
    </xf>
    <xf numFmtId="0" fontId="84" fillId="6" borderId="16" xfId="11" applyFont="1" applyFill="1" applyBorder="1">
      <alignment vertical="center"/>
    </xf>
    <xf numFmtId="0" fontId="84" fillId="6" borderId="16" xfId="11" applyFont="1" applyFill="1" applyBorder="1" applyAlignment="1">
      <alignment vertical="center"/>
    </xf>
    <xf numFmtId="0" fontId="84" fillId="6" borderId="16" xfId="11" applyFont="1" applyFill="1" applyBorder="1" applyAlignment="1">
      <alignment horizontal="center" vertical="center"/>
    </xf>
    <xf numFmtId="176" fontId="84" fillId="6" borderId="17" xfId="12" applyNumberFormat="1" applyFont="1" applyFill="1" applyBorder="1" applyAlignment="1">
      <alignment horizontal="right" vertical="center"/>
    </xf>
    <xf numFmtId="224" fontId="84" fillId="6" borderId="17" xfId="12" applyNumberFormat="1" applyFont="1" applyFill="1" applyBorder="1" applyAlignment="1">
      <alignment horizontal="right" vertical="center"/>
    </xf>
    <xf numFmtId="227" fontId="84" fillId="6" borderId="18" xfId="12" applyNumberFormat="1" applyFont="1" applyFill="1" applyBorder="1" applyAlignment="1">
      <alignment horizontal="right" vertical="center"/>
    </xf>
    <xf numFmtId="0" fontId="33" fillId="0" borderId="19" xfId="11" applyFont="1" applyBorder="1">
      <alignment vertical="center"/>
    </xf>
    <xf numFmtId="0" fontId="33" fillId="0" borderId="20" xfId="11" applyFont="1" applyFill="1" applyBorder="1">
      <alignment vertical="center"/>
    </xf>
    <xf numFmtId="0" fontId="33" fillId="0" borderId="2" xfId="11" applyFont="1" applyFill="1" applyBorder="1">
      <alignment vertical="center"/>
    </xf>
    <xf numFmtId="49" fontId="33" fillId="0" borderId="2" xfId="11" applyNumberFormat="1" applyFont="1" applyFill="1" applyBorder="1">
      <alignment vertical="center"/>
    </xf>
    <xf numFmtId="41" fontId="33" fillId="0" borderId="2" xfId="12" applyFont="1" applyBorder="1">
      <alignment vertical="center"/>
    </xf>
    <xf numFmtId="0" fontId="33" fillId="0" borderId="2" xfId="11" applyFont="1" applyBorder="1">
      <alignment vertical="center"/>
    </xf>
    <xf numFmtId="0" fontId="33" fillId="0" borderId="2" xfId="11" applyFont="1" applyBorder="1" applyAlignment="1">
      <alignment vertical="center"/>
    </xf>
    <xf numFmtId="0" fontId="33" fillId="0" borderId="2" xfId="11" applyFont="1" applyBorder="1" applyAlignment="1">
      <alignment horizontal="center" vertical="center"/>
    </xf>
    <xf numFmtId="176" fontId="33" fillId="0" borderId="53" xfId="12" applyNumberFormat="1" applyFont="1" applyBorder="1" applyAlignment="1">
      <alignment horizontal="right" vertical="center"/>
    </xf>
    <xf numFmtId="224" fontId="33" fillId="0" borderId="53" xfId="12" applyNumberFormat="1" applyFont="1" applyBorder="1" applyAlignment="1">
      <alignment horizontal="right" vertical="center"/>
    </xf>
    <xf numFmtId="227" fontId="33" fillId="0" borderId="28" xfId="11" applyNumberFormat="1" applyFont="1" applyBorder="1" applyAlignment="1">
      <alignment horizontal="right" vertical="center"/>
    </xf>
    <xf numFmtId="176" fontId="33" fillId="0" borderId="0" xfId="11" applyNumberFormat="1" applyFont="1">
      <alignment vertical="center"/>
    </xf>
    <xf numFmtId="0" fontId="33" fillId="0" borderId="29" xfId="11" applyFont="1" applyFill="1" applyBorder="1">
      <alignment vertical="center"/>
    </xf>
    <xf numFmtId="176" fontId="33" fillId="0" borderId="27" xfId="12" applyNumberFormat="1" applyFont="1" applyBorder="1" applyAlignment="1">
      <alignment horizontal="right" vertical="center"/>
    </xf>
    <xf numFmtId="224" fontId="33" fillId="0" borderId="27" xfId="12" applyNumberFormat="1" applyFont="1" applyBorder="1" applyAlignment="1">
      <alignment horizontal="right" vertical="center"/>
    </xf>
    <xf numFmtId="0" fontId="33" fillId="0" borderId="24" xfId="11" applyFont="1" applyFill="1" applyBorder="1">
      <alignment vertical="center"/>
    </xf>
    <xf numFmtId="0" fontId="33" fillId="0" borderId="0" xfId="11" applyFont="1" applyFill="1" applyBorder="1">
      <alignment vertical="center"/>
    </xf>
    <xf numFmtId="0" fontId="84" fillId="6" borderId="21" xfId="11" applyFont="1" applyFill="1" applyBorder="1" applyAlignment="1">
      <alignment vertical="center"/>
    </xf>
    <xf numFmtId="0" fontId="84" fillId="6" borderId="21" xfId="11" applyFont="1" applyFill="1" applyBorder="1">
      <alignment vertical="center"/>
    </xf>
    <xf numFmtId="49" fontId="84" fillId="6" borderId="21" xfId="11" applyNumberFormat="1" applyFont="1" applyFill="1" applyBorder="1">
      <alignment vertical="center"/>
    </xf>
    <xf numFmtId="41" fontId="84" fillId="6" borderId="21" xfId="12" applyFont="1" applyFill="1" applyBorder="1">
      <alignment vertical="center"/>
    </xf>
    <xf numFmtId="0" fontId="84" fillId="6" borderId="21" xfId="11" applyFont="1" applyFill="1" applyBorder="1" applyAlignment="1">
      <alignment horizontal="center" vertical="center"/>
    </xf>
    <xf numFmtId="176" fontId="84" fillId="6" borderId="22" xfId="12" applyNumberFormat="1" applyFont="1" applyFill="1" applyBorder="1" applyAlignment="1">
      <alignment horizontal="right" vertical="center"/>
    </xf>
    <xf numFmtId="224" fontId="84" fillId="6" borderId="12" xfId="12" applyNumberFormat="1" applyFont="1" applyFill="1" applyBorder="1" applyAlignment="1">
      <alignment horizontal="right" vertical="center"/>
    </xf>
    <xf numFmtId="227" fontId="84" fillId="6" borderId="13" xfId="12" applyNumberFormat="1" applyFont="1" applyFill="1" applyBorder="1" applyAlignment="1">
      <alignment horizontal="right" vertical="center"/>
    </xf>
    <xf numFmtId="176" fontId="39" fillId="7" borderId="27" xfId="12" applyNumberFormat="1" applyFont="1" applyFill="1" applyBorder="1" applyAlignment="1">
      <alignment horizontal="right" vertical="center"/>
    </xf>
    <xf numFmtId="224" fontId="39" fillId="7" borderId="27" xfId="12" applyNumberFormat="1" applyFont="1" applyFill="1" applyBorder="1" applyAlignment="1">
      <alignment horizontal="right" vertical="center"/>
    </xf>
    <xf numFmtId="227" fontId="39" fillId="7" borderId="28" xfId="13" applyNumberFormat="1" applyFont="1" applyFill="1" applyBorder="1" applyAlignment="1">
      <alignment horizontal="right" vertical="center"/>
    </xf>
    <xf numFmtId="0" fontId="65" fillId="22" borderId="0" xfId="40" applyNumberFormat="1" applyFont="1" applyFill="1" applyBorder="1" applyAlignment="1">
      <alignment vertical="center"/>
    </xf>
    <xf numFmtId="0" fontId="65" fillId="22" borderId="0" xfId="40" applyNumberFormat="1" applyFont="1" applyFill="1" applyBorder="1">
      <alignment vertical="center"/>
    </xf>
    <xf numFmtId="0" fontId="65" fillId="22" borderId="0" xfId="40" applyNumberFormat="1" applyFont="1" applyFill="1" applyBorder="1" applyAlignment="1">
      <alignment horizontal="center" vertical="center"/>
    </xf>
    <xf numFmtId="178" fontId="65" fillId="22" borderId="31" xfId="40" applyNumberFormat="1" applyFont="1" applyFill="1" applyBorder="1">
      <alignment vertical="center"/>
    </xf>
    <xf numFmtId="176" fontId="39" fillId="22" borderId="24" xfId="41" applyNumberFormat="1" applyFont="1" applyFill="1" applyBorder="1" applyAlignment="1">
      <alignment horizontal="right" vertical="center"/>
    </xf>
    <xf numFmtId="224" fontId="39" fillId="22" borderId="24" xfId="41" applyNumberFormat="1" applyFont="1" applyFill="1" applyBorder="1" applyAlignment="1">
      <alignment horizontal="right" vertical="center"/>
    </xf>
    <xf numFmtId="227" fontId="39" fillId="22" borderId="30" xfId="2" applyNumberFormat="1" applyFont="1" applyFill="1" applyBorder="1" applyAlignment="1">
      <alignment horizontal="right" vertical="center"/>
    </xf>
    <xf numFmtId="0" fontId="65" fillId="0" borderId="0" xfId="40" applyNumberFormat="1" applyFont="1" applyBorder="1" applyAlignment="1">
      <alignment horizontal="left" vertical="center" wrapText="1" indent="1"/>
    </xf>
    <xf numFmtId="41" fontId="65" fillId="0" borderId="0" xfId="10" applyNumberFormat="1" applyFont="1" applyFill="1" applyBorder="1" applyAlignment="1">
      <alignment horizontal="right" vertical="center" shrinkToFit="1"/>
    </xf>
    <xf numFmtId="0" fontId="65" fillId="0" borderId="0" xfId="40" applyNumberFormat="1" applyFont="1" applyBorder="1">
      <alignment vertical="center"/>
    </xf>
    <xf numFmtId="181" fontId="65" fillId="0" borderId="0" xfId="40" applyNumberFormat="1" applyFont="1" applyBorder="1">
      <alignment vertical="center"/>
    </xf>
    <xf numFmtId="201" fontId="65" fillId="0" borderId="0" xfId="40" applyNumberFormat="1" applyFont="1" applyBorder="1">
      <alignment vertical="center"/>
    </xf>
    <xf numFmtId="0" fontId="65" fillId="0" borderId="0" xfId="40" applyFont="1" applyBorder="1" applyAlignment="1">
      <alignment vertical="center"/>
    </xf>
    <xf numFmtId="0" fontId="65" fillId="0" borderId="0" xfId="40" applyNumberFormat="1" applyFont="1" applyBorder="1" applyAlignment="1">
      <alignment horizontal="center" vertical="center"/>
    </xf>
    <xf numFmtId="41" fontId="65" fillId="0" borderId="31" xfId="40" applyNumberFormat="1" applyFont="1" applyFill="1" applyBorder="1">
      <alignment vertical="center"/>
    </xf>
    <xf numFmtId="176" fontId="39" fillId="0" borderId="24" xfId="41" applyNumberFormat="1" applyFont="1" applyFill="1" applyBorder="1" applyAlignment="1">
      <alignment horizontal="right" vertical="center"/>
    </xf>
    <xf numFmtId="224" fontId="39" fillId="0" borderId="24" xfId="41" applyNumberFormat="1" applyFont="1" applyFill="1" applyBorder="1" applyAlignment="1">
      <alignment horizontal="right" vertical="center"/>
    </xf>
    <xf numFmtId="227" fontId="39" fillId="0" borderId="30" xfId="42" applyNumberFormat="1" applyFont="1" applyFill="1" applyBorder="1" applyAlignment="1">
      <alignment horizontal="right" vertical="center"/>
    </xf>
    <xf numFmtId="176" fontId="39" fillId="0" borderId="0" xfId="0" applyNumberFormat="1" applyFont="1" applyAlignment="1">
      <alignment horizontal="center" vertical="center"/>
    </xf>
    <xf numFmtId="0" fontId="65" fillId="0" borderId="0" xfId="40" applyNumberFormat="1" applyFont="1" applyBorder="1" applyAlignment="1">
      <alignment horizontal="left" vertical="center" indent="1"/>
    </xf>
    <xf numFmtId="176" fontId="39" fillId="0" borderId="0" xfId="0" applyNumberFormat="1" applyFont="1">
      <alignment vertical="center"/>
    </xf>
    <xf numFmtId="181" fontId="65" fillId="0" borderId="0" xfId="40" applyNumberFormat="1" applyFont="1" applyBorder="1" applyAlignment="1">
      <alignment horizontal="center" vertical="center"/>
    </xf>
    <xf numFmtId="0" fontId="39" fillId="18" borderId="0" xfId="0" applyFont="1" applyFill="1">
      <alignment vertical="center"/>
    </xf>
    <xf numFmtId="176" fontId="39" fillId="18" borderId="0" xfId="0" applyNumberFormat="1" applyFont="1" applyFill="1">
      <alignment vertical="center"/>
    </xf>
    <xf numFmtId="176" fontId="33" fillId="0" borderId="24" xfId="41" applyNumberFormat="1" applyFont="1" applyBorder="1" applyAlignment="1">
      <alignment horizontal="right" vertical="center"/>
    </xf>
    <xf numFmtId="224" fontId="33" fillId="0" borderId="24" xfId="41" applyNumberFormat="1" applyFont="1" applyBorder="1" applyAlignment="1">
      <alignment horizontal="right" vertical="center"/>
    </xf>
    <xf numFmtId="227" fontId="33" fillId="0" borderId="30" xfId="40" applyNumberFormat="1" applyFont="1" applyBorder="1" applyAlignment="1">
      <alignment horizontal="right" vertical="center"/>
    </xf>
    <xf numFmtId="0" fontId="65" fillId="0" borderId="0" xfId="40" applyNumberFormat="1" applyFont="1" applyFill="1" applyBorder="1" applyAlignment="1">
      <alignment horizontal="left" vertical="center" wrapText="1" indent="1"/>
    </xf>
    <xf numFmtId="0" fontId="65" fillId="0" borderId="0" xfId="40" applyNumberFormat="1" applyFont="1" applyFill="1" applyBorder="1">
      <alignment vertical="center"/>
    </xf>
    <xf numFmtId="181" fontId="65" fillId="0" borderId="0" xfId="40" applyNumberFormat="1" applyFont="1" applyFill="1" applyBorder="1">
      <alignment vertical="center"/>
    </xf>
    <xf numFmtId="201" fontId="65" fillId="0" borderId="0" xfId="40" applyNumberFormat="1" applyFont="1" applyFill="1" applyBorder="1">
      <alignment vertical="center"/>
    </xf>
    <xf numFmtId="0" fontId="65" fillId="0" borderId="0" xfId="40" applyFont="1" applyFill="1" applyBorder="1" applyAlignment="1">
      <alignment vertical="center"/>
    </xf>
    <xf numFmtId="0" fontId="65" fillId="0" borderId="0" xfId="40" applyNumberFormat="1" applyFont="1" applyFill="1" applyBorder="1" applyAlignment="1">
      <alignment horizontal="center" vertical="center"/>
    </xf>
    <xf numFmtId="176" fontId="65" fillId="0" borderId="0" xfId="40" applyNumberFormat="1" applyFont="1" applyFill="1" applyBorder="1" applyAlignment="1">
      <alignment horizontal="center" vertical="center"/>
    </xf>
    <xf numFmtId="176" fontId="65" fillId="0" borderId="0" xfId="40" applyNumberFormat="1" applyFont="1" applyBorder="1" applyAlignment="1">
      <alignment horizontal="center" vertical="center"/>
    </xf>
    <xf numFmtId="201" fontId="65" fillId="22" borderId="0" xfId="40" applyNumberFormat="1" applyFont="1" applyFill="1" applyBorder="1">
      <alignment vertical="center"/>
    </xf>
    <xf numFmtId="0" fontId="65" fillId="0" borderId="0" xfId="40" applyNumberFormat="1" applyFont="1" applyBorder="1" applyAlignment="1">
      <alignment vertical="center"/>
    </xf>
    <xf numFmtId="9" fontId="65" fillId="0" borderId="0" xfId="40" applyNumberFormat="1" applyFont="1" applyBorder="1">
      <alignment vertical="center"/>
    </xf>
    <xf numFmtId="41" fontId="65" fillId="0" borderId="31" xfId="25" applyNumberFormat="1" applyFont="1" applyFill="1" applyBorder="1">
      <alignment vertical="center"/>
    </xf>
    <xf numFmtId="187" fontId="65" fillId="0" borderId="0" xfId="40" applyNumberFormat="1" applyFont="1" applyBorder="1">
      <alignment vertical="center"/>
    </xf>
    <xf numFmtId="0" fontId="65" fillId="0" borderId="0" xfId="40" applyFont="1" applyBorder="1">
      <alignment vertical="center"/>
    </xf>
    <xf numFmtId="207" fontId="65" fillId="0" borderId="0" xfId="44" applyNumberFormat="1" applyFont="1" applyFill="1" applyBorder="1" applyAlignment="1">
      <alignment horizontal="center" vertical="center" shrinkToFit="1"/>
    </xf>
    <xf numFmtId="0" fontId="65" fillId="0" borderId="21" xfId="40" applyNumberFormat="1" applyFont="1" applyBorder="1" applyAlignment="1">
      <alignment horizontal="left" vertical="center" indent="1"/>
    </xf>
    <xf numFmtId="0" fontId="65" fillId="0" borderId="21" xfId="40" applyNumberFormat="1" applyFont="1" applyBorder="1">
      <alignment vertical="center"/>
    </xf>
    <xf numFmtId="0" fontId="65" fillId="0" borderId="21" xfId="40" applyNumberFormat="1" applyFont="1" applyBorder="1" applyAlignment="1">
      <alignment vertical="center"/>
    </xf>
    <xf numFmtId="0" fontId="65" fillId="0" borderId="21" xfId="40" applyNumberFormat="1" applyFont="1" applyBorder="1" applyAlignment="1">
      <alignment horizontal="center" vertical="center"/>
    </xf>
    <xf numFmtId="207" fontId="65" fillId="0" borderId="21" xfId="44" applyNumberFormat="1" applyFont="1" applyFill="1" applyBorder="1" applyAlignment="1">
      <alignment horizontal="center" vertical="center" shrinkToFit="1"/>
    </xf>
    <xf numFmtId="41" fontId="65" fillId="0" borderId="44" xfId="40" applyNumberFormat="1" applyFont="1" applyFill="1" applyBorder="1">
      <alignment vertical="center"/>
    </xf>
    <xf numFmtId="0" fontId="33" fillId="0" borderId="19" xfId="40" applyFont="1" applyBorder="1">
      <alignment vertical="center"/>
    </xf>
    <xf numFmtId="0" fontId="33" fillId="0" borderId="24" xfId="40" applyFont="1" applyFill="1" applyBorder="1">
      <alignment vertical="center"/>
    </xf>
    <xf numFmtId="0" fontId="33" fillId="0" borderId="0" xfId="40" applyFont="1" applyFill="1" applyBorder="1">
      <alignment vertical="center"/>
    </xf>
    <xf numFmtId="176" fontId="33" fillId="7" borderId="27" xfId="41" applyNumberFormat="1" applyFont="1" applyFill="1" applyBorder="1" applyAlignment="1">
      <alignment horizontal="right" vertical="center"/>
    </xf>
    <xf numFmtId="224" fontId="33" fillId="7" borderId="27" xfId="41" applyNumberFormat="1" applyFont="1" applyFill="1" applyBorder="1" applyAlignment="1">
      <alignment horizontal="right" vertical="center"/>
    </xf>
    <xf numFmtId="0" fontId="33" fillId="0" borderId="0" xfId="40" applyFont="1">
      <alignment vertical="center"/>
    </xf>
    <xf numFmtId="181" fontId="65" fillId="22" borderId="0" xfId="40" applyNumberFormat="1" applyFont="1" applyFill="1" applyBorder="1">
      <alignment vertical="center"/>
    </xf>
    <xf numFmtId="0" fontId="65" fillId="22" borderId="0" xfId="40" applyFont="1" applyFill="1" applyBorder="1">
      <alignment vertical="center"/>
    </xf>
    <xf numFmtId="207" fontId="65" fillId="22" borderId="0" xfId="44" applyNumberFormat="1" applyFont="1" applyFill="1" applyBorder="1" applyAlignment="1">
      <alignment horizontal="center" vertical="center" shrinkToFit="1"/>
    </xf>
    <xf numFmtId="176" fontId="33" fillId="22" borderId="24" xfId="41" applyNumberFormat="1" applyFont="1" applyFill="1" applyBorder="1" applyAlignment="1">
      <alignment horizontal="right" vertical="center"/>
    </xf>
    <xf numFmtId="224" fontId="33" fillId="22" borderId="24" xfId="41" applyNumberFormat="1" applyFont="1" applyFill="1" applyBorder="1" applyAlignment="1">
      <alignment horizontal="right" vertical="center"/>
    </xf>
    <xf numFmtId="227" fontId="33" fillId="22" borderId="30" xfId="40" applyNumberFormat="1" applyFont="1" applyFill="1" applyBorder="1" applyAlignment="1">
      <alignment horizontal="right" vertical="center"/>
    </xf>
    <xf numFmtId="176" fontId="39" fillId="7" borderId="27" xfId="41" applyNumberFormat="1" applyFont="1" applyFill="1" applyBorder="1" applyAlignment="1">
      <alignment horizontal="right" vertical="center"/>
    </xf>
    <xf numFmtId="224" fontId="39" fillId="7" borderId="27" xfId="41" applyNumberFormat="1" applyFont="1" applyFill="1" applyBorder="1" applyAlignment="1">
      <alignment horizontal="right" vertical="center"/>
    </xf>
    <xf numFmtId="0" fontId="33" fillId="0" borderId="35" xfId="11" applyFont="1" applyBorder="1">
      <alignment vertical="center"/>
    </xf>
    <xf numFmtId="0" fontId="33" fillId="0" borderId="22" xfId="11" applyFont="1" applyFill="1" applyBorder="1">
      <alignment vertical="center"/>
    </xf>
    <xf numFmtId="0" fontId="33" fillId="0" borderId="21" xfId="11" applyFont="1" applyFill="1" applyBorder="1">
      <alignment vertical="center"/>
    </xf>
    <xf numFmtId="0" fontId="33" fillId="0" borderId="21" xfId="40" applyFont="1" applyFill="1" applyBorder="1">
      <alignment vertical="center"/>
    </xf>
    <xf numFmtId="176" fontId="39" fillId="22" borderId="22" xfId="41" applyNumberFormat="1" applyFont="1" applyFill="1" applyBorder="1" applyAlignment="1">
      <alignment horizontal="right" vertical="center"/>
    </xf>
    <xf numFmtId="224" fontId="39" fillId="22" borderId="22" xfId="41" applyNumberFormat="1" applyFont="1" applyFill="1" applyBorder="1" applyAlignment="1">
      <alignment horizontal="right" vertical="center"/>
    </xf>
    <xf numFmtId="227" fontId="39" fillId="22" borderId="23" xfId="2" applyNumberFormat="1" applyFont="1" applyFill="1" applyBorder="1" applyAlignment="1">
      <alignment horizontal="right" vertical="center"/>
    </xf>
    <xf numFmtId="41" fontId="65" fillId="0" borderId="31" xfId="40" applyNumberFormat="1" applyFont="1" applyBorder="1">
      <alignment vertical="center"/>
    </xf>
    <xf numFmtId="224" fontId="33" fillId="0" borderId="22" xfId="41" applyNumberFormat="1" applyFont="1" applyBorder="1" applyAlignment="1">
      <alignment horizontal="right" vertical="center"/>
    </xf>
    <xf numFmtId="227" fontId="33" fillId="0" borderId="23" xfId="40" applyNumberFormat="1" applyFont="1" applyBorder="1" applyAlignment="1">
      <alignment horizontal="right" vertical="center"/>
    </xf>
    <xf numFmtId="0" fontId="84" fillId="6" borderId="25" xfId="11" applyFont="1" applyFill="1" applyBorder="1">
      <alignment vertical="center"/>
    </xf>
    <xf numFmtId="49" fontId="84" fillId="6" borderId="25" xfId="11" applyNumberFormat="1" applyFont="1" applyFill="1" applyBorder="1">
      <alignment vertical="center"/>
    </xf>
    <xf numFmtId="41" fontId="84" fillId="6" borderId="25" xfId="12" applyFont="1" applyFill="1" applyBorder="1">
      <alignment vertical="center"/>
    </xf>
    <xf numFmtId="0" fontId="84" fillId="6" borderId="25" xfId="11" applyFont="1" applyFill="1" applyBorder="1" applyAlignment="1">
      <alignment vertical="center"/>
    </xf>
    <xf numFmtId="0" fontId="84" fillId="6" borderId="25" xfId="11" applyFont="1" applyFill="1" applyBorder="1" applyAlignment="1">
      <alignment horizontal="center" vertical="center"/>
    </xf>
    <xf numFmtId="176" fontId="84" fillId="6" borderId="27" xfId="12" applyNumberFormat="1" applyFont="1" applyFill="1" applyBorder="1" applyAlignment="1">
      <alignment horizontal="right" vertical="center"/>
    </xf>
    <xf numFmtId="49" fontId="65" fillId="0" borderId="0" xfId="40" applyNumberFormat="1" applyFont="1" applyFill="1" applyBorder="1" applyAlignment="1">
      <alignment horizontal="left" vertical="center" wrapText="1" indent="1"/>
    </xf>
    <xf numFmtId="177" fontId="65" fillId="0" borderId="0" xfId="40" applyNumberFormat="1" applyFont="1" applyFill="1" applyBorder="1" applyAlignment="1">
      <alignment vertical="center" shrinkToFit="1"/>
    </xf>
    <xf numFmtId="49" fontId="65" fillId="0" borderId="0" xfId="40" applyNumberFormat="1" applyFont="1" applyFill="1" applyBorder="1" applyAlignment="1">
      <alignment horizontal="left" vertical="center" indent="1"/>
    </xf>
    <xf numFmtId="41" fontId="33" fillId="0" borderId="0" xfId="11" applyNumberFormat="1" applyFont="1">
      <alignment vertical="center"/>
    </xf>
    <xf numFmtId="0" fontId="65" fillId="0" borderId="0" xfId="40" applyFont="1" applyFill="1" applyBorder="1">
      <alignment vertical="center"/>
    </xf>
    <xf numFmtId="49" fontId="65" fillId="0" borderId="21" xfId="40" applyNumberFormat="1" applyFont="1" applyFill="1" applyBorder="1" applyAlignment="1">
      <alignment horizontal="left" vertical="center" wrapText="1" indent="1"/>
    </xf>
    <xf numFmtId="201" fontId="65" fillId="0" borderId="21" xfId="40" applyNumberFormat="1" applyFont="1" applyBorder="1">
      <alignment vertical="center"/>
    </xf>
    <xf numFmtId="0" fontId="65" fillId="0" borderId="21" xfId="40" applyFont="1" applyBorder="1">
      <alignment vertical="center"/>
    </xf>
    <xf numFmtId="0" fontId="65" fillId="0" borderId="21" xfId="40" applyFont="1" applyBorder="1" applyAlignment="1">
      <alignment vertical="center"/>
    </xf>
    <xf numFmtId="41" fontId="65" fillId="0" borderId="44" xfId="40" applyNumberFormat="1" applyFont="1" applyBorder="1">
      <alignment vertical="center"/>
    </xf>
    <xf numFmtId="176" fontId="33" fillId="0" borderId="22" xfId="41" applyNumberFormat="1" applyFont="1" applyBorder="1" applyAlignment="1">
      <alignment horizontal="right" vertical="center"/>
    </xf>
    <xf numFmtId="0" fontId="33" fillId="7" borderId="21" xfId="11" applyFont="1" applyFill="1" applyBorder="1">
      <alignment vertical="center"/>
    </xf>
    <xf numFmtId="49" fontId="33" fillId="7" borderId="21" xfId="11" applyNumberFormat="1" applyFont="1" applyFill="1" applyBorder="1">
      <alignment vertical="center"/>
    </xf>
    <xf numFmtId="41" fontId="33" fillId="7" borderId="21" xfId="12" applyFont="1" applyFill="1" applyBorder="1">
      <alignment vertical="center"/>
    </xf>
    <xf numFmtId="0" fontId="33" fillId="7" borderId="21" xfId="11" applyFont="1" applyFill="1" applyBorder="1" applyAlignment="1">
      <alignment vertical="center"/>
    </xf>
    <xf numFmtId="0" fontId="33" fillId="7" borderId="21" xfId="11" applyFont="1" applyFill="1" applyBorder="1" applyAlignment="1">
      <alignment horizontal="center" vertical="center"/>
    </xf>
    <xf numFmtId="176" fontId="39" fillId="7" borderId="22" xfId="12" applyNumberFormat="1" applyFont="1" applyFill="1" applyBorder="1" applyAlignment="1">
      <alignment horizontal="right" vertical="center"/>
    </xf>
    <xf numFmtId="224" fontId="39" fillId="7" borderId="22" xfId="12" applyNumberFormat="1" applyFont="1" applyFill="1" applyBorder="1" applyAlignment="1">
      <alignment horizontal="right" vertical="center"/>
    </xf>
    <xf numFmtId="227" fontId="39" fillId="7" borderId="23" xfId="13" applyNumberFormat="1" applyFont="1" applyFill="1" applyBorder="1" applyAlignment="1">
      <alignment horizontal="right" vertical="center"/>
    </xf>
    <xf numFmtId="187" fontId="65" fillId="0" borderId="21" xfId="40" applyNumberFormat="1" applyFont="1" applyBorder="1">
      <alignment vertical="center"/>
    </xf>
    <xf numFmtId="196" fontId="65" fillId="0" borderId="0" xfId="40" applyNumberFormat="1" applyFont="1" applyBorder="1">
      <alignment vertical="center"/>
    </xf>
    <xf numFmtId="227" fontId="33" fillId="0" borderId="116" xfId="40" applyNumberFormat="1" applyFont="1" applyBorder="1" applyAlignment="1">
      <alignment horizontal="right" vertical="center"/>
    </xf>
    <xf numFmtId="0" fontId="65" fillId="22" borderId="37" xfId="40" applyNumberFormat="1" applyFont="1" applyFill="1" applyBorder="1" applyAlignment="1">
      <alignment vertical="center"/>
    </xf>
    <xf numFmtId="0" fontId="65" fillId="22" borderId="37" xfId="40" applyNumberFormat="1" applyFont="1" applyFill="1" applyBorder="1">
      <alignment vertical="center"/>
    </xf>
    <xf numFmtId="0" fontId="65" fillId="22" borderId="37" xfId="40" applyNumberFormat="1" applyFont="1" applyFill="1" applyBorder="1" applyAlignment="1">
      <alignment horizontal="center" vertical="center"/>
    </xf>
    <xf numFmtId="178" fontId="65" fillId="22" borderId="43" xfId="40" applyNumberFormat="1" applyFont="1" applyFill="1" applyBorder="1">
      <alignment vertical="center"/>
    </xf>
    <xf numFmtId="176" fontId="39" fillId="22" borderId="29" xfId="41" applyNumberFormat="1" applyFont="1" applyFill="1" applyBorder="1" applyAlignment="1">
      <alignment horizontal="right" vertical="center"/>
    </xf>
    <xf numFmtId="227" fontId="33" fillId="0" borderId="117" xfId="40" applyNumberFormat="1" applyFont="1" applyBorder="1" applyAlignment="1">
      <alignment horizontal="right" vertical="center"/>
    </xf>
    <xf numFmtId="0" fontId="84" fillId="6" borderId="25" xfId="3" applyNumberFormat="1" applyFont="1" applyFill="1" applyBorder="1" applyAlignment="1">
      <alignment vertical="center"/>
    </xf>
    <xf numFmtId="0" fontId="64" fillId="0" borderId="43" xfId="3" applyNumberFormat="1" applyFont="1" applyFill="1" applyBorder="1">
      <alignment vertical="center"/>
    </xf>
    <xf numFmtId="0" fontId="84" fillId="6" borderId="26" xfId="11" applyFont="1" applyFill="1" applyBorder="1">
      <alignment vertical="center"/>
    </xf>
    <xf numFmtId="187" fontId="65" fillId="0" borderId="0" xfId="40" applyNumberFormat="1" applyFont="1" applyFill="1" applyBorder="1" applyAlignment="1">
      <alignment horizontal="right" vertical="center"/>
    </xf>
    <xf numFmtId="0" fontId="65" fillId="0" borderId="0" xfId="40" applyNumberFormat="1" applyFont="1" applyFill="1" applyBorder="1" applyAlignment="1">
      <alignment horizontal="left" vertical="center" indent="1"/>
    </xf>
    <xf numFmtId="187" fontId="65" fillId="0" borderId="0" xfId="40" applyNumberFormat="1" applyFont="1" applyFill="1" applyBorder="1">
      <alignment vertical="center"/>
    </xf>
    <xf numFmtId="41" fontId="65" fillId="0" borderId="0" xfId="40" applyNumberFormat="1" applyFont="1" applyFill="1" applyBorder="1">
      <alignment vertical="center"/>
    </xf>
    <xf numFmtId="187" fontId="65" fillId="0" borderId="0" xfId="25" applyNumberFormat="1" applyFont="1" applyFill="1" applyBorder="1" applyAlignment="1">
      <alignment horizontal="right" vertical="center" shrinkToFit="1"/>
    </xf>
    <xf numFmtId="187" fontId="65" fillId="0" borderId="0" xfId="25" applyNumberFormat="1" applyFont="1" applyFill="1" applyBorder="1">
      <alignment vertical="center"/>
    </xf>
    <xf numFmtId="178" fontId="65" fillId="22" borderId="0" xfId="40" applyNumberFormat="1" applyFont="1" applyFill="1" applyBorder="1">
      <alignment vertical="center"/>
    </xf>
    <xf numFmtId="0" fontId="33" fillId="0" borderId="124" xfId="11" applyFont="1" applyBorder="1">
      <alignment vertical="center"/>
    </xf>
    <xf numFmtId="0" fontId="33" fillId="0" borderId="21" xfId="11" applyFont="1" applyBorder="1">
      <alignment vertical="center"/>
    </xf>
    <xf numFmtId="0" fontId="33" fillId="0" borderId="22" xfId="11" applyFont="1" applyBorder="1">
      <alignment vertical="center"/>
    </xf>
    <xf numFmtId="0" fontId="33" fillId="0" borderId="20" xfId="11" applyFont="1" applyBorder="1">
      <alignment vertical="center"/>
    </xf>
    <xf numFmtId="0" fontId="33" fillId="0" borderId="40" xfId="11" applyFont="1" applyBorder="1">
      <alignment vertical="center"/>
    </xf>
    <xf numFmtId="0" fontId="33" fillId="0" borderId="0" xfId="11" applyFont="1" applyBorder="1">
      <alignment vertical="center"/>
    </xf>
    <xf numFmtId="0" fontId="33" fillId="0" borderId="24" xfId="11" applyFont="1" applyBorder="1">
      <alignment vertical="center"/>
    </xf>
    <xf numFmtId="0" fontId="33" fillId="0" borderId="36" xfId="11" applyFont="1" applyBorder="1">
      <alignment vertical="center"/>
    </xf>
    <xf numFmtId="176" fontId="64" fillId="22" borderId="24" xfId="25" applyNumberFormat="1" applyFont="1" applyFill="1" applyBorder="1" applyAlignment="1">
      <alignment horizontal="right" vertical="center"/>
    </xf>
    <xf numFmtId="49" fontId="101" fillId="0" borderId="0" xfId="40" applyNumberFormat="1" applyFont="1" applyFill="1" applyBorder="1">
      <alignment vertical="center"/>
    </xf>
    <xf numFmtId="41" fontId="101" fillId="0" borderId="0" xfId="41" applyFont="1" applyFill="1" applyBorder="1">
      <alignment vertical="center"/>
    </xf>
    <xf numFmtId="0" fontId="101" fillId="0" borderId="0" xfId="40" applyFont="1" applyFill="1" applyBorder="1">
      <alignment vertical="center"/>
    </xf>
    <xf numFmtId="183" fontId="101" fillId="0" borderId="0" xfId="40" applyNumberFormat="1" applyFont="1" applyFill="1" applyBorder="1">
      <alignment vertical="center"/>
    </xf>
    <xf numFmtId="182" fontId="101" fillId="0" borderId="0" xfId="40" applyNumberFormat="1" applyFont="1" applyFill="1" applyBorder="1">
      <alignment vertical="center"/>
    </xf>
    <xf numFmtId="0" fontId="101" fillId="0" borderId="0" xfId="40" applyFont="1" applyFill="1" applyBorder="1" applyAlignment="1">
      <alignment vertical="center"/>
    </xf>
    <xf numFmtId="0" fontId="101" fillId="0" borderId="0" xfId="40" applyFont="1" applyFill="1" applyBorder="1" applyAlignment="1">
      <alignment horizontal="center" vertical="center"/>
    </xf>
    <xf numFmtId="206" fontId="101" fillId="0" borderId="31" xfId="40" applyNumberFormat="1" applyFont="1" applyFill="1" applyBorder="1">
      <alignment vertical="center"/>
    </xf>
    <xf numFmtId="176" fontId="101" fillId="0" borderId="0" xfId="41" applyNumberFormat="1" applyFont="1" applyFill="1" applyBorder="1" applyAlignment="1">
      <alignment horizontal="right" vertical="center"/>
    </xf>
    <xf numFmtId="176" fontId="101" fillId="0" borderId="24" xfId="41" applyNumberFormat="1" applyFont="1" applyFill="1" applyBorder="1" applyAlignment="1">
      <alignment horizontal="right" vertical="center"/>
    </xf>
    <xf numFmtId="224" fontId="101" fillId="0" borderId="31" xfId="41" applyNumberFormat="1" applyFont="1" applyFill="1" applyBorder="1" applyAlignment="1">
      <alignment horizontal="right" vertical="center"/>
    </xf>
    <xf numFmtId="227" fontId="101" fillId="0" borderId="30" xfId="41" applyNumberFormat="1" applyFont="1" applyFill="1" applyBorder="1" applyAlignment="1">
      <alignment horizontal="right" vertical="center"/>
    </xf>
    <xf numFmtId="49" fontId="101" fillId="0" borderId="21" xfId="40" applyNumberFormat="1" applyFont="1" applyFill="1" applyBorder="1">
      <alignment vertical="center"/>
    </xf>
    <xf numFmtId="41" fontId="101" fillId="0" borderId="21" xfId="41" applyFont="1" applyFill="1" applyBorder="1">
      <alignment vertical="center"/>
    </xf>
    <xf numFmtId="0" fontId="101" fillId="0" borderId="21" xfId="40" applyFont="1" applyFill="1" applyBorder="1">
      <alignment vertical="center"/>
    </xf>
    <xf numFmtId="183" fontId="101" fillId="0" borderId="21" xfId="40" applyNumberFormat="1" applyFont="1" applyFill="1" applyBorder="1">
      <alignment vertical="center"/>
    </xf>
    <xf numFmtId="182" fontId="101" fillId="0" borderId="21" xfId="40" applyNumberFormat="1" applyFont="1" applyFill="1" applyBorder="1">
      <alignment vertical="center"/>
    </xf>
    <xf numFmtId="0" fontId="101" fillId="0" borderId="21" xfId="40" applyFont="1" applyFill="1" applyBorder="1" applyAlignment="1">
      <alignment vertical="center"/>
    </xf>
    <xf numFmtId="0" fontId="101" fillId="0" borderId="21" xfId="40" applyFont="1" applyFill="1" applyBorder="1" applyAlignment="1">
      <alignment horizontal="center" vertical="center"/>
    </xf>
    <xf numFmtId="176" fontId="101" fillId="0" borderId="21" xfId="41" applyNumberFormat="1" applyFont="1" applyFill="1" applyBorder="1" applyAlignment="1">
      <alignment horizontal="right" vertical="center"/>
    </xf>
    <xf numFmtId="176" fontId="101" fillId="0" borderId="22" xfId="41" applyNumberFormat="1" applyFont="1" applyFill="1" applyBorder="1" applyAlignment="1">
      <alignment horizontal="right" vertical="center"/>
    </xf>
    <xf numFmtId="224" fontId="101" fillId="0" borderId="44" xfId="41" applyNumberFormat="1" applyFont="1" applyFill="1" applyBorder="1" applyAlignment="1">
      <alignment horizontal="right" vertical="center"/>
    </xf>
    <xf numFmtId="227" fontId="101" fillId="0" borderId="23" xfId="41" applyNumberFormat="1" applyFont="1" applyFill="1" applyBorder="1" applyAlignment="1">
      <alignment horizontal="right" vertical="center"/>
    </xf>
    <xf numFmtId="0" fontId="84" fillId="6" borderId="27" xfId="40" applyFont="1" applyFill="1" applyBorder="1">
      <alignment vertical="center"/>
    </xf>
    <xf numFmtId="0" fontId="84" fillId="6" borderId="37" xfId="40" applyFont="1" applyFill="1" applyBorder="1">
      <alignment vertical="center"/>
    </xf>
    <xf numFmtId="49" fontId="84" fillId="6" borderId="37" xfId="40" applyNumberFormat="1" applyFont="1" applyFill="1" applyBorder="1">
      <alignment vertical="center"/>
    </xf>
    <xf numFmtId="41" fontId="84" fillId="6" borderId="37" xfId="41" applyFont="1" applyFill="1" applyBorder="1">
      <alignment vertical="center"/>
    </xf>
    <xf numFmtId="0" fontId="84" fillId="6" borderId="37" xfId="40" applyFont="1" applyFill="1" applyBorder="1" applyAlignment="1">
      <alignment vertical="center"/>
    </xf>
    <xf numFmtId="0" fontId="84" fillId="6" borderId="37" xfId="40" applyFont="1" applyFill="1" applyBorder="1" applyAlignment="1">
      <alignment horizontal="center" vertical="center"/>
    </xf>
    <xf numFmtId="0" fontId="84" fillId="6" borderId="43" xfId="40" applyFont="1" applyFill="1" applyBorder="1">
      <alignment vertical="center"/>
    </xf>
    <xf numFmtId="176" fontId="84" fillId="6" borderId="43" xfId="41" applyNumberFormat="1" applyFont="1" applyFill="1" applyBorder="1" applyAlignment="1">
      <alignment horizontal="right" vertical="center"/>
    </xf>
    <xf numFmtId="224" fontId="84" fillId="6" borderId="24" xfId="41" applyNumberFormat="1" applyFont="1" applyFill="1" applyBorder="1" applyAlignment="1">
      <alignment horizontal="right" vertical="center"/>
    </xf>
    <xf numFmtId="227" fontId="84" fillId="6" borderId="30" xfId="41" applyNumberFormat="1" applyFont="1" applyFill="1" applyBorder="1" applyAlignment="1">
      <alignment horizontal="right" vertical="center"/>
    </xf>
    <xf numFmtId="41" fontId="33" fillId="0" borderId="0" xfId="41" applyFont="1" applyFill="1" applyBorder="1">
      <alignment vertical="center"/>
    </xf>
    <xf numFmtId="187" fontId="33" fillId="0" borderId="0" xfId="40" applyNumberFormat="1" applyFont="1" applyFill="1" applyBorder="1">
      <alignment vertical="center"/>
    </xf>
    <xf numFmtId="0" fontId="33" fillId="0" borderId="24" xfId="40" applyFont="1" applyBorder="1">
      <alignment vertical="center"/>
    </xf>
    <xf numFmtId="176" fontId="39" fillId="7" borderId="39" xfId="41" applyNumberFormat="1" applyFont="1" applyFill="1" applyBorder="1" applyAlignment="1">
      <alignment horizontal="right" vertical="center"/>
    </xf>
    <xf numFmtId="227" fontId="39" fillId="7" borderId="28" xfId="42" applyNumberFormat="1" applyFont="1" applyFill="1" applyBorder="1" applyAlignment="1">
      <alignment horizontal="right" vertical="center"/>
    </xf>
    <xf numFmtId="176" fontId="84" fillId="6" borderId="29" xfId="41" applyNumberFormat="1" applyFont="1" applyFill="1" applyBorder="1" applyAlignment="1">
      <alignment horizontal="right" vertical="center"/>
    </xf>
    <xf numFmtId="43" fontId="33" fillId="0" borderId="0" xfId="11" applyNumberFormat="1" applyFont="1">
      <alignment vertical="center"/>
    </xf>
    <xf numFmtId="176" fontId="33" fillId="0" borderId="31" xfId="40" applyNumberFormat="1" applyFont="1" applyBorder="1">
      <alignment vertical="center"/>
    </xf>
    <xf numFmtId="176" fontId="33" fillId="0" borderId="24" xfId="40" applyNumberFormat="1" applyFont="1" applyBorder="1">
      <alignment vertical="center"/>
    </xf>
    <xf numFmtId="224" fontId="33" fillId="0" borderId="24" xfId="40" applyNumberFormat="1" applyFont="1" applyBorder="1">
      <alignment vertical="center"/>
    </xf>
    <xf numFmtId="227" fontId="33" fillId="0" borderId="30" xfId="40" applyNumberFormat="1" applyFont="1" applyBorder="1">
      <alignment vertical="center"/>
    </xf>
    <xf numFmtId="190" fontId="65" fillId="0" borderId="0" xfId="40" applyNumberFormat="1" applyFont="1" applyFill="1" applyBorder="1">
      <alignment vertical="center"/>
    </xf>
    <xf numFmtId="209" fontId="65" fillId="0" borderId="0" xfId="40" applyNumberFormat="1" applyFont="1" applyFill="1" applyBorder="1" applyAlignment="1">
      <alignment horizontal="center" vertical="center"/>
    </xf>
    <xf numFmtId="0" fontId="33" fillId="22" borderId="0" xfId="11" applyFont="1" applyFill="1" applyBorder="1">
      <alignment vertical="center"/>
    </xf>
    <xf numFmtId="41" fontId="33" fillId="22" borderId="0" xfId="12" applyFont="1" applyFill="1" applyBorder="1">
      <alignment vertical="center"/>
    </xf>
    <xf numFmtId="0" fontId="33" fillId="22" borderId="0" xfId="11" applyFont="1" applyFill="1" applyBorder="1" applyAlignment="1">
      <alignment horizontal="center" vertical="center"/>
    </xf>
    <xf numFmtId="178" fontId="33" fillId="22" borderId="0" xfId="11" applyNumberFormat="1" applyFont="1" applyFill="1" applyBorder="1">
      <alignment vertical="center"/>
    </xf>
    <xf numFmtId="176" fontId="33" fillId="22" borderId="29" xfId="12" applyNumberFormat="1" applyFont="1" applyFill="1" applyBorder="1" applyAlignment="1">
      <alignment horizontal="right" vertical="center"/>
    </xf>
    <xf numFmtId="0" fontId="33" fillId="0" borderId="32" xfId="11" applyFont="1" applyBorder="1">
      <alignment vertical="center"/>
    </xf>
    <xf numFmtId="0" fontId="33" fillId="0" borderId="12" xfId="11" applyFont="1" applyFill="1" applyBorder="1">
      <alignment vertical="center"/>
    </xf>
    <xf numFmtId="0" fontId="33" fillId="0" borderId="10" xfId="11" applyFont="1" applyBorder="1" applyAlignment="1">
      <alignment horizontal="left" vertical="center" wrapText="1" indent="1"/>
    </xf>
    <xf numFmtId="41" fontId="33" fillId="0" borderId="10" xfId="12" applyFont="1" applyBorder="1" applyAlignment="1">
      <alignment vertical="center" wrapText="1"/>
    </xf>
    <xf numFmtId="0" fontId="33" fillId="0" borderId="10" xfId="11" applyFont="1" applyBorder="1">
      <alignment vertical="center"/>
    </xf>
    <xf numFmtId="179" fontId="33" fillId="0" borderId="10" xfId="11" applyNumberFormat="1" applyFont="1" applyBorder="1">
      <alignment vertical="center"/>
    </xf>
    <xf numFmtId="182" fontId="33" fillId="0" borderId="10" xfId="11" applyNumberFormat="1" applyFont="1" applyBorder="1">
      <alignment vertical="center"/>
    </xf>
    <xf numFmtId="0" fontId="33" fillId="0" borderId="10" xfId="11" applyFont="1" applyBorder="1" applyAlignment="1">
      <alignment horizontal="center" vertical="center"/>
    </xf>
    <xf numFmtId="41" fontId="33" fillId="0" borderId="10" xfId="11" applyNumberFormat="1" applyFont="1" applyBorder="1">
      <alignment vertical="center"/>
    </xf>
    <xf numFmtId="176" fontId="33" fillId="0" borderId="12" xfId="12" applyNumberFormat="1" applyFont="1" applyBorder="1" applyAlignment="1">
      <alignment horizontal="right" vertical="center"/>
    </xf>
    <xf numFmtId="224" fontId="33" fillId="0" borderId="12" xfId="12" applyNumberFormat="1" applyFont="1" applyBorder="1" applyAlignment="1">
      <alignment horizontal="right" vertical="center"/>
    </xf>
    <xf numFmtId="227" fontId="33" fillId="0" borderId="13" xfId="11" applyNumberFormat="1" applyFont="1" applyBorder="1" applyAlignment="1">
      <alignment horizontal="right" vertical="center"/>
    </xf>
    <xf numFmtId="224" fontId="33" fillId="0" borderId="0" xfId="11" applyNumberFormat="1" applyFont="1">
      <alignment vertical="center"/>
    </xf>
    <xf numFmtId="227" fontId="33" fillId="0" borderId="0" xfId="11" applyNumberFormat="1" applyFont="1">
      <alignment vertical="center"/>
    </xf>
    <xf numFmtId="224" fontId="33" fillId="0" borderId="0" xfId="12" applyNumberFormat="1" applyFont="1" applyAlignment="1">
      <alignment horizontal="right" vertical="center"/>
    </xf>
    <xf numFmtId="227" fontId="33" fillId="0" borderId="0" xfId="11" applyNumberFormat="1" applyFont="1" applyAlignment="1">
      <alignment horizontal="right" vertical="center"/>
    </xf>
    <xf numFmtId="0" fontId="84" fillId="6" borderId="1" xfId="0" applyFont="1" applyFill="1" applyBorder="1" applyAlignment="1">
      <alignment vertical="center"/>
    </xf>
    <xf numFmtId="0" fontId="84" fillId="6" borderId="2" xfId="0" applyFont="1" applyFill="1" applyBorder="1" applyAlignment="1">
      <alignment vertical="center"/>
    </xf>
    <xf numFmtId="227" fontId="84" fillId="6" borderId="23" xfId="2" applyNumberFormat="1" applyFont="1" applyFill="1" applyBorder="1" applyAlignment="1">
      <alignment horizontal="right" vertical="center"/>
    </xf>
    <xf numFmtId="0" fontId="99" fillId="0" borderId="0" xfId="24" applyNumberFormat="1" applyFont="1" applyFill="1" applyBorder="1">
      <alignment vertical="center"/>
    </xf>
    <xf numFmtId="49" fontId="99" fillId="22" borderId="0" xfId="24" applyNumberFormat="1" applyFont="1" applyFill="1" applyBorder="1">
      <alignment vertical="center"/>
    </xf>
    <xf numFmtId="41" fontId="99" fillId="22" borderId="0" xfId="25" applyNumberFormat="1" applyFont="1" applyFill="1" applyBorder="1">
      <alignment vertical="center"/>
    </xf>
    <xf numFmtId="0" fontId="99" fillId="22" borderId="0" xfId="24" applyNumberFormat="1" applyFont="1" applyFill="1" applyBorder="1">
      <alignment vertical="center"/>
    </xf>
    <xf numFmtId="0" fontId="99" fillId="22" borderId="0" xfId="24" applyNumberFormat="1" applyFont="1" applyFill="1" applyBorder="1" applyAlignment="1">
      <alignment vertical="center"/>
    </xf>
    <xf numFmtId="0" fontId="99" fillId="22" borderId="0" xfId="24" applyNumberFormat="1" applyFont="1" applyFill="1" applyBorder="1" applyAlignment="1">
      <alignment horizontal="center" vertical="center"/>
    </xf>
    <xf numFmtId="178" fontId="99" fillId="22" borderId="0" xfId="24" applyNumberFormat="1" applyFont="1" applyFill="1" applyBorder="1">
      <alignment vertical="center"/>
    </xf>
    <xf numFmtId="176" fontId="99" fillId="22" borderId="24" xfId="25" applyNumberFormat="1" applyFont="1" applyFill="1" applyBorder="1" applyAlignment="1">
      <alignment horizontal="right" vertical="center"/>
    </xf>
    <xf numFmtId="224" fontId="99" fillId="22" borderId="24" xfId="25" applyNumberFormat="1" applyFont="1" applyFill="1" applyBorder="1" applyAlignment="1">
      <alignment horizontal="right" vertical="center"/>
    </xf>
    <xf numFmtId="227" fontId="100" fillId="22" borderId="30" xfId="2" applyNumberFormat="1" applyFont="1" applyFill="1" applyBorder="1" applyAlignment="1">
      <alignment horizontal="right" vertical="center"/>
    </xf>
    <xf numFmtId="41" fontId="99" fillId="0" borderId="0" xfId="6" applyNumberFormat="1" applyFont="1" applyFill="1" applyBorder="1" applyAlignment="1">
      <alignment horizontal="right" vertical="center" shrinkToFit="1"/>
    </xf>
    <xf numFmtId="182" fontId="99" fillId="0" borderId="0" xfId="24" applyNumberFormat="1" applyFont="1" applyBorder="1" applyAlignment="1">
      <alignment vertical="center"/>
    </xf>
    <xf numFmtId="49" fontId="99" fillId="0" borderId="0" xfId="24" applyNumberFormat="1" applyFont="1" applyFill="1" applyBorder="1" applyAlignment="1">
      <alignment horizontal="left" vertical="center" indent="1"/>
    </xf>
    <xf numFmtId="41" fontId="99" fillId="0" borderId="0" xfId="24" applyNumberFormat="1" applyFont="1" applyFill="1" applyBorder="1">
      <alignment vertical="center"/>
    </xf>
    <xf numFmtId="180" fontId="99" fillId="0" borderId="0" xfId="33" applyNumberFormat="1" applyFont="1" applyBorder="1">
      <alignment vertical="center"/>
    </xf>
    <xf numFmtId="49" fontId="99" fillId="0" borderId="0" xfId="24" applyNumberFormat="1" applyFont="1" applyFill="1" applyBorder="1" applyAlignment="1">
      <alignment horizontal="left" vertical="center" wrapText="1" indent="1"/>
    </xf>
    <xf numFmtId="41" fontId="99" fillId="0" borderId="0" xfId="25" applyNumberFormat="1" applyFont="1" applyFill="1" applyBorder="1" applyAlignment="1">
      <alignment vertical="center" wrapText="1"/>
    </xf>
    <xf numFmtId="187" fontId="39" fillId="0" borderId="0" xfId="33" applyNumberFormat="1" applyFont="1" applyBorder="1">
      <alignment vertical="center"/>
    </xf>
    <xf numFmtId="187" fontId="99" fillId="0" borderId="0" xfId="24" applyNumberFormat="1" applyFont="1" applyBorder="1">
      <alignment vertical="center"/>
    </xf>
    <xf numFmtId="0" fontId="84" fillId="6" borderId="41" xfId="0" applyFont="1" applyFill="1" applyBorder="1">
      <alignment vertical="center"/>
    </xf>
    <xf numFmtId="41" fontId="84" fillId="6" borderId="37" xfId="1" applyFont="1" applyFill="1" applyBorder="1">
      <alignment vertical="center"/>
    </xf>
    <xf numFmtId="0" fontId="84" fillId="6" borderId="37" xfId="0" applyFont="1" applyFill="1" applyBorder="1" applyAlignment="1">
      <alignment vertical="center"/>
    </xf>
    <xf numFmtId="0" fontId="84" fillId="6" borderId="37" xfId="0" applyFont="1" applyFill="1" applyBorder="1" applyAlignment="1">
      <alignment horizontal="center" vertical="center"/>
    </xf>
    <xf numFmtId="176" fontId="84" fillId="6" borderId="29" xfId="1" applyNumberFormat="1" applyFont="1" applyFill="1" applyBorder="1" applyAlignment="1">
      <alignment horizontal="right" vertical="center"/>
    </xf>
    <xf numFmtId="41" fontId="99" fillId="0" borderId="0" xfId="25" applyNumberFormat="1" applyFont="1" applyBorder="1">
      <alignment vertical="center"/>
    </xf>
    <xf numFmtId="0" fontId="99" fillId="0" borderId="0" xfId="33" applyFont="1" applyFill="1" applyBorder="1" applyAlignment="1">
      <alignment horizontal="left" vertical="center" wrapText="1" indent="1"/>
    </xf>
    <xf numFmtId="41" fontId="99" fillId="0" borderId="0" xfId="25" applyNumberFormat="1" applyFont="1" applyFill="1" applyBorder="1">
      <alignment vertical="center"/>
    </xf>
    <xf numFmtId="180" fontId="99" fillId="0" borderId="0" xfId="33" applyNumberFormat="1" applyFont="1" applyFill="1" applyBorder="1">
      <alignment vertical="center"/>
    </xf>
    <xf numFmtId="0" fontId="99" fillId="0" borderId="0" xfId="24" applyNumberFormat="1" applyFont="1" applyFill="1" applyBorder="1" applyAlignment="1">
      <alignment vertical="center"/>
    </xf>
    <xf numFmtId="0" fontId="99" fillId="0" borderId="0" xfId="24" applyNumberFormat="1" applyFont="1" applyFill="1" applyBorder="1" applyAlignment="1">
      <alignment horizontal="center" vertical="center"/>
    </xf>
    <xf numFmtId="49" fontId="99" fillId="0" borderId="21" xfId="24" applyNumberFormat="1" applyFont="1" applyFill="1" applyBorder="1" applyAlignment="1">
      <alignment horizontal="left" vertical="center" wrapText="1" indent="1"/>
    </xf>
    <xf numFmtId="41" fontId="99" fillId="0" borderId="21" xfId="25" applyNumberFormat="1" applyFont="1" applyFill="1" applyBorder="1">
      <alignment vertical="center"/>
    </xf>
    <xf numFmtId="0" fontId="39" fillId="0" borderId="21" xfId="33" applyFont="1" applyBorder="1">
      <alignment vertical="center"/>
    </xf>
    <xf numFmtId="181" fontId="39" fillId="0" borderId="21" xfId="33" applyNumberFormat="1" applyFont="1" applyBorder="1">
      <alignment vertical="center"/>
    </xf>
    <xf numFmtId="182" fontId="39" fillId="0" borderId="21" xfId="33" applyNumberFormat="1" applyFont="1" applyBorder="1">
      <alignment vertical="center"/>
    </xf>
    <xf numFmtId="0" fontId="99" fillId="0" borderId="21" xfId="24" applyNumberFormat="1" applyFont="1" applyFill="1" applyBorder="1" applyAlignment="1">
      <alignment vertical="center"/>
    </xf>
    <xf numFmtId="0" fontId="99" fillId="0" borderId="21" xfId="24" applyNumberFormat="1" applyFont="1" applyFill="1" applyBorder="1">
      <alignment vertical="center"/>
    </xf>
    <xf numFmtId="0" fontId="99" fillId="0" borderId="21" xfId="24" applyNumberFormat="1" applyFont="1" applyFill="1" applyBorder="1" applyAlignment="1">
      <alignment horizontal="center" vertical="center"/>
    </xf>
    <xf numFmtId="41" fontId="99" fillId="0" borderId="21" xfId="24" applyNumberFormat="1" applyFont="1" applyFill="1" applyBorder="1">
      <alignment vertical="center"/>
    </xf>
    <xf numFmtId="176" fontId="99" fillId="0" borderId="22" xfId="25" applyNumberFormat="1" applyFont="1" applyFill="1" applyBorder="1" applyAlignment="1">
      <alignment horizontal="right" vertical="center"/>
    </xf>
    <xf numFmtId="224" fontId="99" fillId="0" borderId="22" xfId="25" applyNumberFormat="1" applyFont="1" applyFill="1" applyBorder="1" applyAlignment="1">
      <alignment horizontal="right" vertical="center"/>
    </xf>
    <xf numFmtId="227" fontId="100" fillId="0" borderId="23" xfId="29" applyNumberFormat="1" applyFont="1" applyFill="1" applyBorder="1" applyAlignment="1">
      <alignment horizontal="right" vertical="center"/>
    </xf>
    <xf numFmtId="0" fontId="33" fillId="0" borderId="21" xfId="0" applyFont="1" applyFill="1" applyBorder="1" applyAlignment="1">
      <alignment vertical="center"/>
    </xf>
    <xf numFmtId="176" fontId="33" fillId="8" borderId="22" xfId="1" applyNumberFormat="1" applyFont="1" applyFill="1" applyBorder="1" applyAlignment="1">
      <alignment horizontal="right" vertical="center"/>
    </xf>
    <xf numFmtId="227" fontId="99" fillId="0" borderId="30" xfId="25" applyNumberFormat="1" applyFont="1" applyBorder="1" applyAlignment="1">
      <alignment horizontal="right" vertical="center"/>
    </xf>
    <xf numFmtId="180" fontId="99" fillId="0" borderId="0" xfId="24" applyNumberFormat="1" applyFont="1" applyFill="1" applyBorder="1" applyAlignment="1" applyProtection="1">
      <alignment vertical="center"/>
    </xf>
    <xf numFmtId="191" fontId="99" fillId="0" borderId="0" xfId="24" applyNumberFormat="1" applyFont="1" applyFill="1" applyBorder="1" applyAlignment="1" applyProtection="1">
      <alignment vertical="center"/>
    </xf>
    <xf numFmtId="41" fontId="99" fillId="0" borderId="31" xfId="24" applyNumberFormat="1" applyFont="1" applyBorder="1">
      <alignment vertical="center"/>
    </xf>
    <xf numFmtId="182" fontId="99" fillId="0" borderId="0" xfId="24" applyNumberFormat="1" applyFont="1" applyFill="1" applyBorder="1">
      <alignment vertical="center"/>
    </xf>
    <xf numFmtId="182" fontId="99" fillId="0" borderId="0" xfId="24" applyNumberFormat="1" applyFont="1" applyFill="1" applyBorder="1" applyAlignment="1">
      <alignment vertical="center"/>
    </xf>
    <xf numFmtId="176" fontId="99" fillId="0" borderId="24" xfId="25" applyNumberFormat="1" applyFont="1" applyFill="1" applyBorder="1" applyAlignment="1">
      <alignment horizontal="right" vertical="center"/>
    </xf>
    <xf numFmtId="224" fontId="99" fillId="0" borderId="24" xfId="25" applyNumberFormat="1" applyFont="1" applyFill="1" applyBorder="1" applyAlignment="1">
      <alignment horizontal="right" vertical="center"/>
    </xf>
    <xf numFmtId="227" fontId="99" fillId="0" borderId="30" xfId="25" applyNumberFormat="1" applyFont="1" applyFill="1" applyBorder="1" applyAlignment="1">
      <alignment horizontal="right" vertical="center"/>
    </xf>
    <xf numFmtId="49" fontId="99" fillId="22" borderId="21" xfId="24" applyNumberFormat="1" applyFont="1" applyFill="1" applyBorder="1">
      <alignment vertical="center"/>
    </xf>
    <xf numFmtId="41" fontId="99" fillId="22" borderId="21" xfId="25" applyNumberFormat="1" applyFont="1" applyFill="1" applyBorder="1">
      <alignment vertical="center"/>
    </xf>
    <xf numFmtId="0" fontId="99" fillId="22" borderId="21" xfId="24" applyNumberFormat="1" applyFont="1" applyFill="1" applyBorder="1">
      <alignment vertical="center"/>
    </xf>
    <xf numFmtId="0" fontId="99" fillId="22" borderId="21" xfId="24" applyNumberFormat="1" applyFont="1" applyFill="1" applyBorder="1" applyAlignment="1">
      <alignment vertical="center"/>
    </xf>
    <xf numFmtId="0" fontId="99" fillId="22" borderId="21" xfId="24" applyNumberFormat="1" applyFont="1" applyFill="1" applyBorder="1" applyAlignment="1">
      <alignment horizontal="center" vertical="center"/>
    </xf>
    <xf numFmtId="178" fontId="99" fillId="22" borderId="21" xfId="24" applyNumberFormat="1" applyFont="1" applyFill="1" applyBorder="1">
      <alignment vertical="center"/>
    </xf>
    <xf numFmtId="176" fontId="99" fillId="22" borderId="22" xfId="25" applyNumberFormat="1" applyFont="1" applyFill="1" applyBorder="1" applyAlignment="1">
      <alignment horizontal="right" vertical="center"/>
    </xf>
    <xf numFmtId="224" fontId="99" fillId="22" borderId="22" xfId="25" applyNumberFormat="1" applyFont="1" applyFill="1" applyBorder="1" applyAlignment="1">
      <alignment horizontal="right" vertical="center"/>
    </xf>
    <xf numFmtId="227" fontId="100" fillId="22" borderId="23" xfId="2" applyNumberFormat="1" applyFont="1" applyFill="1" applyBorder="1" applyAlignment="1">
      <alignment horizontal="right" vertical="center"/>
    </xf>
    <xf numFmtId="0" fontId="84" fillId="6" borderId="26" xfId="0" applyFont="1" applyFill="1" applyBorder="1" applyAlignment="1">
      <alignment horizontal="left" vertical="center"/>
    </xf>
    <xf numFmtId="227" fontId="100" fillId="0" borderId="30" xfId="29" applyNumberFormat="1" applyFont="1" applyFill="1" applyBorder="1" applyAlignment="1">
      <alignment horizontal="right" vertical="center"/>
    </xf>
    <xf numFmtId="0" fontId="100" fillId="0" borderId="19" xfId="24" applyNumberFormat="1" applyFont="1" applyBorder="1">
      <alignment vertical="center"/>
    </xf>
    <xf numFmtId="0" fontId="100" fillId="0" borderId="24" xfId="24" applyNumberFormat="1" applyFont="1" applyFill="1" applyBorder="1">
      <alignment vertical="center"/>
    </xf>
    <xf numFmtId="0" fontId="100" fillId="0" borderId="0" xfId="24" applyNumberFormat="1" applyFont="1" applyFill="1" applyBorder="1">
      <alignment vertical="center"/>
    </xf>
    <xf numFmtId="41" fontId="39" fillId="0" borderId="0" xfId="43" applyFont="1" applyBorder="1" applyAlignment="1">
      <alignment vertical="center" wrapText="1"/>
    </xf>
    <xf numFmtId="49" fontId="39" fillId="0" borderId="0" xfId="33" applyNumberFormat="1" applyFont="1" applyBorder="1" applyAlignment="1">
      <alignment horizontal="center" vertical="center"/>
    </xf>
    <xf numFmtId="0" fontId="39" fillId="0" borderId="0" xfId="33" applyFont="1" applyFill="1" applyBorder="1" applyAlignment="1">
      <alignment horizontal="left" vertical="center" wrapText="1" indent="1"/>
    </xf>
    <xf numFmtId="184" fontId="99" fillId="0" borderId="0" xfId="24" applyNumberFormat="1" applyFont="1" applyFill="1" applyBorder="1" applyAlignment="1" applyProtection="1">
      <alignment vertical="center"/>
    </xf>
    <xf numFmtId="181" fontId="39" fillId="0" borderId="0" xfId="33" applyNumberFormat="1" applyFont="1" applyFill="1" applyBorder="1">
      <alignment vertical="center"/>
    </xf>
    <xf numFmtId="205" fontId="39" fillId="0" borderId="0" xfId="33" applyNumberFormat="1" applyFont="1" applyFill="1" applyBorder="1">
      <alignment vertical="center"/>
    </xf>
    <xf numFmtId="187" fontId="39" fillId="0" borderId="0" xfId="33" applyNumberFormat="1" applyFont="1" applyFill="1" applyBorder="1">
      <alignment vertical="center"/>
    </xf>
    <xf numFmtId="41" fontId="39" fillId="0" borderId="0" xfId="43" applyFont="1" applyFill="1" applyBorder="1" applyAlignment="1">
      <alignment vertical="center" wrapText="1"/>
    </xf>
    <xf numFmtId="0" fontId="39" fillId="0" borderId="0" xfId="33" applyFont="1" applyFill="1" applyBorder="1">
      <alignment vertical="center"/>
    </xf>
    <xf numFmtId="0" fontId="39" fillId="0" borderId="0" xfId="33" applyFont="1" applyFill="1" applyBorder="1" applyAlignment="1">
      <alignment horizontal="left" vertical="center" indent="1"/>
    </xf>
    <xf numFmtId="41" fontId="39" fillId="0" borderId="0" xfId="43" applyFont="1" applyFill="1" applyBorder="1">
      <alignment vertical="center"/>
    </xf>
    <xf numFmtId="0" fontId="39" fillId="0" borderId="21" xfId="33" applyFont="1" applyFill="1" applyBorder="1" applyAlignment="1">
      <alignment horizontal="left" vertical="center" indent="1"/>
    </xf>
    <xf numFmtId="41" fontId="39" fillId="0" borderId="21" xfId="43" applyFont="1" applyFill="1" applyBorder="1">
      <alignment vertical="center"/>
    </xf>
    <xf numFmtId="0" fontId="39" fillId="0" borderId="21" xfId="33" applyFont="1" applyFill="1" applyBorder="1">
      <alignment vertical="center"/>
    </xf>
    <xf numFmtId="187" fontId="39" fillId="0" borderId="21" xfId="33" applyNumberFormat="1" applyFont="1" applyFill="1" applyBorder="1">
      <alignment vertical="center"/>
    </xf>
    <xf numFmtId="0" fontId="99" fillId="0" borderId="21" xfId="24" applyNumberFormat="1" applyFont="1" applyBorder="1">
      <alignment vertical="center"/>
    </xf>
    <xf numFmtId="182" fontId="99" fillId="0" borderId="21" xfId="24" applyNumberFormat="1" applyFont="1" applyBorder="1">
      <alignment vertical="center"/>
    </xf>
    <xf numFmtId="182" fontId="99" fillId="0" borderId="21" xfId="24" applyNumberFormat="1" applyFont="1" applyBorder="1" applyAlignment="1">
      <alignment vertical="center"/>
    </xf>
    <xf numFmtId="0" fontId="99" fillId="0" borderId="21" xfId="24" applyNumberFormat="1" applyFont="1" applyBorder="1" applyAlignment="1">
      <alignment horizontal="center" vertical="center"/>
    </xf>
    <xf numFmtId="41" fontId="99" fillId="0" borderId="21" xfId="24" applyNumberFormat="1" applyFont="1" applyBorder="1">
      <alignment vertical="center"/>
    </xf>
    <xf numFmtId="176" fontId="99" fillId="0" borderId="22" xfId="25" applyNumberFormat="1" applyFont="1" applyBorder="1" applyAlignment="1">
      <alignment horizontal="right" vertical="center"/>
    </xf>
    <xf numFmtId="224" fontId="99" fillId="0" borderId="22" xfId="25" applyNumberFormat="1" applyFont="1" applyBorder="1" applyAlignment="1">
      <alignment horizontal="right" vertical="center"/>
    </xf>
    <xf numFmtId="227" fontId="100" fillId="0" borderId="23" xfId="24" applyNumberFormat="1" applyFont="1" applyBorder="1" applyAlignment="1">
      <alignment horizontal="right" vertical="center"/>
    </xf>
    <xf numFmtId="41" fontId="99" fillId="0" borderId="21" xfId="25" applyNumberFormat="1" applyFont="1" applyBorder="1" applyAlignment="1">
      <alignment vertical="center" wrapText="1"/>
    </xf>
    <xf numFmtId="182" fontId="39" fillId="0" borderId="0" xfId="33" applyNumberFormat="1" applyFont="1" applyFill="1" applyBorder="1">
      <alignment vertical="center"/>
    </xf>
    <xf numFmtId="182" fontId="39" fillId="0" borderId="0" xfId="33" applyNumberFormat="1" applyFont="1" applyFill="1" applyBorder="1" applyAlignment="1">
      <alignment vertical="center"/>
    </xf>
    <xf numFmtId="0" fontId="39" fillId="0" borderId="0" xfId="33" applyFont="1" applyFill="1" applyBorder="1" applyAlignment="1">
      <alignment horizontal="center" vertical="center"/>
    </xf>
    <xf numFmtId="227" fontId="100" fillId="0" borderId="30" xfId="24" applyNumberFormat="1" applyFont="1" applyFill="1" applyBorder="1" applyAlignment="1">
      <alignment horizontal="right" vertical="center"/>
    </xf>
    <xf numFmtId="0" fontId="39" fillId="0" borderId="21" xfId="33" applyFont="1" applyFill="1" applyBorder="1" applyAlignment="1">
      <alignment horizontal="left" vertical="center" wrapText="1" indent="1"/>
    </xf>
    <xf numFmtId="41" fontId="39" fillId="0" borderId="21" xfId="43" applyFont="1" applyFill="1" applyBorder="1" applyAlignment="1">
      <alignment vertical="center" wrapText="1"/>
    </xf>
    <xf numFmtId="0" fontId="39" fillId="0" borderId="0" xfId="33" applyFont="1" applyBorder="1" applyAlignment="1">
      <alignment horizontal="left" vertical="center" indent="1"/>
    </xf>
    <xf numFmtId="41" fontId="39" fillId="0" borderId="0" xfId="43" applyFont="1" applyBorder="1">
      <alignment vertical="center"/>
    </xf>
    <xf numFmtId="0" fontId="39" fillId="0" borderId="21" xfId="33" applyFont="1" applyBorder="1" applyAlignment="1">
      <alignment horizontal="left" vertical="center" indent="1"/>
    </xf>
    <xf numFmtId="41" fontId="39" fillId="0" borderId="21" xfId="43" applyFont="1" applyBorder="1">
      <alignment vertical="center"/>
    </xf>
    <xf numFmtId="180" fontId="99" fillId="0" borderId="0" xfId="24" applyNumberFormat="1" applyFont="1" applyBorder="1">
      <alignment vertical="center"/>
    </xf>
    <xf numFmtId="191" fontId="39" fillId="0" borderId="0" xfId="33" applyNumberFormat="1" applyFont="1" applyFill="1" applyBorder="1">
      <alignment vertical="center"/>
    </xf>
    <xf numFmtId="227" fontId="100" fillId="0" borderId="23" xfId="24" applyNumberFormat="1" applyFont="1" applyFill="1" applyBorder="1" applyAlignment="1">
      <alignment horizontal="right" vertical="center"/>
    </xf>
    <xf numFmtId="191" fontId="39" fillId="0" borderId="0" xfId="33" applyNumberFormat="1" applyFont="1" applyBorder="1">
      <alignment vertical="center"/>
    </xf>
    <xf numFmtId="190" fontId="99" fillId="0" borderId="0" xfId="24" applyNumberFormat="1" applyFont="1" applyFill="1" applyBorder="1" applyAlignment="1" applyProtection="1">
      <alignment vertical="center"/>
    </xf>
    <xf numFmtId="176" fontId="99" fillId="0" borderId="36" xfId="25" applyNumberFormat="1" applyFont="1" applyBorder="1" applyAlignment="1">
      <alignment horizontal="right" vertical="center"/>
    </xf>
    <xf numFmtId="224" fontId="99" fillId="0" borderId="36" xfId="25" applyNumberFormat="1" applyFont="1" applyBorder="1" applyAlignment="1">
      <alignment horizontal="right" vertical="center"/>
    </xf>
    <xf numFmtId="0" fontId="84" fillId="6" borderId="26" xfId="24" applyFont="1" applyFill="1" applyBorder="1">
      <alignment vertical="center"/>
    </xf>
    <xf numFmtId="49" fontId="39" fillId="6" borderId="25" xfId="24" applyNumberFormat="1" applyFont="1" applyFill="1" applyBorder="1">
      <alignment vertical="center"/>
    </xf>
    <xf numFmtId="41" fontId="39" fillId="6" borderId="25" xfId="25" applyFont="1" applyFill="1" applyBorder="1">
      <alignment vertical="center"/>
    </xf>
    <xf numFmtId="0" fontId="39" fillId="6" borderId="25" xfId="24" applyFont="1" applyFill="1" applyBorder="1">
      <alignment vertical="center"/>
    </xf>
    <xf numFmtId="0" fontId="39" fillId="6" borderId="25" xfId="24" applyFont="1" applyFill="1" applyBorder="1" applyAlignment="1">
      <alignment vertical="center"/>
    </xf>
    <xf numFmtId="0" fontId="39" fillId="6" borderId="25" xfId="24" applyFont="1" applyFill="1" applyBorder="1" applyAlignment="1">
      <alignment horizontal="center" vertical="center"/>
    </xf>
    <xf numFmtId="176" fontId="98" fillId="3" borderId="27" xfId="25" applyNumberFormat="1" applyFont="1" applyFill="1" applyBorder="1" applyAlignment="1">
      <alignment horizontal="right" vertical="center"/>
    </xf>
    <xf numFmtId="176" fontId="84" fillId="6" borderId="39" xfId="25" applyNumberFormat="1" applyFont="1" applyFill="1" applyBorder="1" applyAlignment="1">
      <alignment horizontal="right" vertical="center"/>
    </xf>
    <xf numFmtId="224" fontId="84" fillId="6" borderId="27" xfId="25" applyNumberFormat="1" applyFont="1" applyFill="1" applyBorder="1" applyAlignment="1">
      <alignment horizontal="right" vertical="center"/>
    </xf>
    <xf numFmtId="227" fontId="84" fillId="6" borderId="28" xfId="24" applyNumberFormat="1" applyFont="1" applyFill="1" applyBorder="1" applyAlignment="1">
      <alignment horizontal="right" vertical="center"/>
    </xf>
    <xf numFmtId="196" fontId="99" fillId="0" borderId="0" xfId="24" applyNumberFormat="1" applyFont="1" applyFill="1" applyBorder="1" applyAlignment="1" applyProtection="1">
      <alignment vertical="center"/>
    </xf>
    <xf numFmtId="176" fontId="33" fillId="7" borderId="27" xfId="1" applyNumberFormat="1" applyFont="1" applyFill="1" applyBorder="1" applyAlignment="1">
      <alignment horizontal="right" vertical="center"/>
    </xf>
    <xf numFmtId="187" fontId="99" fillId="0" borderId="0" xfId="24" applyNumberFormat="1" applyFont="1" applyFill="1" applyBorder="1" applyAlignment="1" applyProtection="1">
      <alignment vertical="center"/>
    </xf>
    <xf numFmtId="184" fontId="99" fillId="0" borderId="0" xfId="24" applyNumberFormat="1" applyFont="1" applyBorder="1">
      <alignment vertical="center"/>
    </xf>
    <xf numFmtId="181" fontId="99" fillId="0" borderId="0" xfId="24" applyNumberFormat="1" applyFont="1" applyFill="1" applyBorder="1">
      <alignment vertical="center"/>
    </xf>
    <xf numFmtId="187" fontId="99" fillId="0" borderId="0" xfId="33" applyNumberFormat="1" applyFont="1" applyBorder="1">
      <alignment vertical="center"/>
    </xf>
    <xf numFmtId="0" fontId="99" fillId="0" borderId="21" xfId="33" applyFont="1" applyFill="1" applyBorder="1" applyAlignment="1">
      <alignment horizontal="left" vertical="center" wrapText="1" indent="1"/>
    </xf>
    <xf numFmtId="41" fontId="99" fillId="0" borderId="21" xfId="25" applyNumberFormat="1" applyFont="1" applyBorder="1">
      <alignment vertical="center"/>
    </xf>
    <xf numFmtId="180" fontId="99" fillId="0" borderId="21" xfId="24" applyNumberFormat="1" applyFont="1" applyFill="1" applyBorder="1" applyAlignment="1" applyProtection="1">
      <alignment vertical="center"/>
    </xf>
    <xf numFmtId="181" fontId="99" fillId="0" borderId="0" xfId="24" applyNumberFormat="1" applyFont="1" applyFill="1" applyBorder="1" applyAlignment="1" applyProtection="1">
      <alignment vertical="center"/>
    </xf>
    <xf numFmtId="49" fontId="99" fillId="0" borderId="0" xfId="33" applyNumberFormat="1" applyFont="1" applyFill="1" applyBorder="1" applyAlignment="1">
      <alignment horizontal="left" vertical="center" indent="1"/>
    </xf>
    <xf numFmtId="182" fontId="99" fillId="0" borderId="0" xfId="33" applyNumberFormat="1" applyFont="1" applyBorder="1">
      <alignment vertical="center"/>
    </xf>
    <xf numFmtId="0" fontId="99" fillId="0" borderId="0" xfId="33" applyFont="1" applyBorder="1" applyAlignment="1">
      <alignment horizontal="left" vertical="center" wrapText="1" indent="1"/>
    </xf>
    <xf numFmtId="41" fontId="99" fillId="0" borderId="0" xfId="43" applyFont="1" applyBorder="1" applyAlignment="1">
      <alignment vertical="center" wrapText="1"/>
    </xf>
    <xf numFmtId="0" fontId="99" fillId="0" borderId="0" xfId="33" applyFont="1" applyBorder="1">
      <alignment vertical="center"/>
    </xf>
    <xf numFmtId="181" fontId="99" fillId="0" borderId="0" xfId="33" applyNumberFormat="1" applyFont="1" applyBorder="1">
      <alignment vertical="center"/>
    </xf>
    <xf numFmtId="178" fontId="99" fillId="0" borderId="0" xfId="24" applyNumberFormat="1" applyFont="1" applyBorder="1">
      <alignment vertical="center"/>
    </xf>
    <xf numFmtId="0" fontId="99" fillId="0" borderId="0" xfId="24" applyNumberFormat="1" applyFont="1" applyBorder="1" applyAlignment="1">
      <alignment horizontal="left" vertical="center" wrapText="1" indent="1"/>
    </xf>
    <xf numFmtId="49" fontId="99" fillId="0" borderId="0" xfId="33" applyNumberFormat="1" applyFont="1" applyFill="1" applyBorder="1" applyAlignment="1">
      <alignment horizontal="left" vertical="center" wrapText="1" indent="1"/>
    </xf>
    <xf numFmtId="0" fontId="99" fillId="0" borderId="0" xfId="33" applyFont="1" applyFill="1" applyBorder="1">
      <alignment vertical="center"/>
    </xf>
    <xf numFmtId="0" fontId="100" fillId="0" borderId="36" xfId="24" applyNumberFormat="1" applyFont="1" applyFill="1" applyBorder="1">
      <alignment vertical="center"/>
    </xf>
    <xf numFmtId="0" fontId="100" fillId="0" borderId="20" xfId="24" applyNumberFormat="1" applyFont="1" applyFill="1" applyBorder="1">
      <alignment vertical="center"/>
    </xf>
    <xf numFmtId="0" fontId="99" fillId="0" borderId="21" xfId="33" applyFont="1" applyBorder="1" applyAlignment="1">
      <alignment horizontal="left" vertical="center" wrapText="1" indent="1"/>
    </xf>
    <xf numFmtId="0" fontId="99" fillId="0" borderId="21" xfId="33" applyFont="1" applyBorder="1">
      <alignment vertical="center"/>
    </xf>
    <xf numFmtId="180" fontId="99" fillId="0" borderId="21" xfId="33" applyNumberFormat="1" applyFont="1" applyBorder="1">
      <alignment vertical="center"/>
    </xf>
    <xf numFmtId="187" fontId="33" fillId="0" borderId="21" xfId="0" applyNumberFormat="1" applyFont="1" applyBorder="1">
      <alignment vertical="center"/>
    </xf>
    <xf numFmtId="182" fontId="33" fillId="0" borderId="21" xfId="0" applyNumberFormat="1" applyFont="1" applyBorder="1" applyAlignment="1">
      <alignment vertical="center"/>
    </xf>
    <xf numFmtId="41" fontId="84" fillId="6" borderId="21" xfId="1" applyFont="1" applyFill="1" applyBorder="1" applyAlignment="1">
      <alignment vertical="center" wrapText="1"/>
    </xf>
    <xf numFmtId="182" fontId="84" fillId="6" borderId="21" xfId="0" applyNumberFormat="1" applyFont="1" applyFill="1" applyBorder="1">
      <alignment vertical="center"/>
    </xf>
    <xf numFmtId="187" fontId="84" fillId="6" borderId="21" xfId="0" applyNumberFormat="1" applyFont="1" applyFill="1" applyBorder="1">
      <alignment vertical="center"/>
    </xf>
    <xf numFmtId="182" fontId="84" fillId="6" borderId="21" xfId="0" applyNumberFormat="1" applyFont="1" applyFill="1" applyBorder="1" applyAlignment="1">
      <alignment vertical="center"/>
    </xf>
    <xf numFmtId="41" fontId="84" fillId="6" borderId="21" xfId="0" applyNumberFormat="1" applyFont="1" applyFill="1" applyBorder="1">
      <alignment vertical="center"/>
    </xf>
    <xf numFmtId="0" fontId="33" fillId="22" borderId="0" xfId="0" applyFont="1" applyFill="1" applyBorder="1" applyAlignment="1">
      <alignment horizontal="left" vertical="center" wrapText="1" indent="1"/>
    </xf>
    <xf numFmtId="187" fontId="99" fillId="0" borderId="21" xfId="33" applyNumberFormat="1" applyFont="1" applyBorder="1">
      <alignment vertical="center"/>
    </xf>
    <xf numFmtId="187" fontId="33" fillId="0" borderId="0" xfId="0" applyNumberFormat="1" applyFont="1" applyBorder="1">
      <alignment vertical="center"/>
    </xf>
    <xf numFmtId="182" fontId="33" fillId="0" borderId="0" xfId="0" applyNumberFormat="1" applyFont="1" applyBorder="1" applyAlignment="1">
      <alignment vertical="center"/>
    </xf>
    <xf numFmtId="49" fontId="100" fillId="0" borderId="0" xfId="24" applyNumberFormat="1" applyFont="1" applyFill="1" applyBorder="1" applyAlignment="1">
      <alignment horizontal="left" vertical="center" wrapText="1" indent="1"/>
    </xf>
    <xf numFmtId="41" fontId="100" fillId="0" borderId="0" xfId="25" applyNumberFormat="1" applyFont="1" applyBorder="1">
      <alignment vertical="center"/>
    </xf>
    <xf numFmtId="0" fontId="100" fillId="0" borderId="0" xfId="24" applyNumberFormat="1" applyFont="1" applyBorder="1">
      <alignment vertical="center"/>
    </xf>
    <xf numFmtId="179" fontId="100" fillId="0" borderId="0" xfId="24" applyNumberFormat="1" applyFont="1" applyBorder="1">
      <alignment vertical="center"/>
    </xf>
    <xf numFmtId="0" fontId="100" fillId="0" borderId="0" xfId="24" applyNumberFormat="1" applyFont="1" applyBorder="1" applyAlignment="1">
      <alignment vertical="center"/>
    </xf>
    <xf numFmtId="0" fontId="100" fillId="0" borderId="0" xfId="24" applyNumberFormat="1" applyFont="1" applyBorder="1" applyAlignment="1">
      <alignment horizontal="center" vertical="center"/>
    </xf>
    <xf numFmtId="176" fontId="100" fillId="0" borderId="24" xfId="25" applyNumberFormat="1" applyFont="1" applyBorder="1" applyAlignment="1">
      <alignment horizontal="right" vertical="center"/>
    </xf>
    <xf numFmtId="224" fontId="100" fillId="0" borderId="24" xfId="25" applyNumberFormat="1" applyFont="1" applyBorder="1" applyAlignment="1">
      <alignment horizontal="right" vertical="center"/>
    </xf>
    <xf numFmtId="41" fontId="100" fillId="0" borderId="31" xfId="24" applyNumberFormat="1" applyFont="1" applyBorder="1">
      <alignment vertical="center"/>
    </xf>
    <xf numFmtId="0" fontId="33" fillId="0" borderId="50" xfId="0" applyFont="1" applyFill="1" applyBorder="1">
      <alignment vertical="center"/>
    </xf>
    <xf numFmtId="49" fontId="100" fillId="0" borderId="10" xfId="24" applyNumberFormat="1" applyFont="1" applyFill="1" applyBorder="1" applyAlignment="1">
      <alignment horizontal="left" vertical="center" wrapText="1" indent="1"/>
    </xf>
    <xf numFmtId="41" fontId="100" fillId="0" borderId="10" xfId="25" applyNumberFormat="1" applyFont="1" applyBorder="1" applyAlignment="1">
      <alignment vertical="center" wrapText="1"/>
    </xf>
    <xf numFmtId="0" fontId="100" fillId="0" borderId="10" xfId="24" applyNumberFormat="1" applyFont="1" applyBorder="1">
      <alignment vertical="center"/>
    </xf>
    <xf numFmtId="180" fontId="100" fillId="0" borderId="10" xfId="24" applyNumberFormat="1" applyFont="1" applyBorder="1">
      <alignment vertical="center"/>
    </xf>
    <xf numFmtId="182" fontId="100" fillId="0" borderId="10" xfId="24" applyNumberFormat="1" applyFont="1" applyBorder="1">
      <alignment vertical="center"/>
    </xf>
    <xf numFmtId="182" fontId="100" fillId="0" borderId="10" xfId="24" applyNumberFormat="1" applyFont="1" applyBorder="1" applyAlignment="1">
      <alignment vertical="center"/>
    </xf>
    <xf numFmtId="0" fontId="100" fillId="0" borderId="10" xfId="24" applyNumberFormat="1" applyFont="1" applyBorder="1" applyAlignment="1">
      <alignment horizontal="center" vertical="center"/>
    </xf>
    <xf numFmtId="41" fontId="100" fillId="0" borderId="10" xfId="24" applyNumberFormat="1" applyFont="1" applyBorder="1">
      <alignment vertical="center"/>
    </xf>
    <xf numFmtId="176" fontId="100" fillId="0" borderId="12" xfId="25" applyNumberFormat="1" applyFont="1" applyBorder="1" applyAlignment="1">
      <alignment horizontal="right" vertical="center"/>
    </xf>
    <xf numFmtId="224" fontId="100" fillId="0" borderId="12" xfId="25" applyNumberFormat="1" applyFont="1" applyBorder="1" applyAlignment="1">
      <alignment horizontal="right" vertical="center"/>
    </xf>
    <xf numFmtId="227" fontId="100" fillId="0" borderId="13" xfId="24" applyNumberFormat="1" applyFont="1" applyBorder="1" applyAlignment="1">
      <alignment horizontal="right" vertical="center"/>
    </xf>
    <xf numFmtId="227" fontId="39" fillId="0" borderId="28" xfId="1" applyNumberFormat="1" applyFont="1" applyBorder="1" applyAlignment="1">
      <alignment horizontal="right" vertical="center"/>
    </xf>
    <xf numFmtId="49" fontId="39" fillId="22" borderId="0" xfId="26" applyNumberFormat="1" applyFont="1" applyFill="1" applyBorder="1">
      <alignment vertical="center"/>
    </xf>
    <xf numFmtId="0" fontId="39" fillId="22" borderId="0" xfId="26" applyFont="1" applyFill="1" applyBorder="1" applyAlignment="1">
      <alignment vertical="center"/>
    </xf>
    <xf numFmtId="176" fontId="39" fillId="22" borderId="24" xfId="26" applyNumberFormat="1" applyFont="1" applyFill="1" applyBorder="1">
      <alignment vertical="center"/>
    </xf>
    <xf numFmtId="224" fontId="39" fillId="22" borderId="24" xfId="26" applyNumberFormat="1" applyFont="1" applyFill="1" applyBorder="1">
      <alignment vertical="center"/>
    </xf>
    <xf numFmtId="227" fontId="39" fillId="22" borderId="30" xfId="2" applyNumberFormat="1" applyFont="1" applyFill="1" applyBorder="1">
      <alignment vertical="center"/>
    </xf>
    <xf numFmtId="41" fontId="39" fillId="0" borderId="0" xfId="27" applyFont="1" applyBorder="1">
      <alignment vertical="center"/>
    </xf>
    <xf numFmtId="181" fontId="39" fillId="0" borderId="0" xfId="26" applyNumberFormat="1" applyFont="1" applyBorder="1">
      <alignment vertical="center"/>
    </xf>
    <xf numFmtId="184" fontId="39" fillId="0" borderId="0" xfId="26" applyNumberFormat="1" applyFont="1" applyBorder="1">
      <alignment vertical="center"/>
    </xf>
    <xf numFmtId="49" fontId="39" fillId="6" borderId="25" xfId="0" applyNumberFormat="1" applyFont="1" applyFill="1" applyBorder="1">
      <alignment vertical="center"/>
    </xf>
    <xf numFmtId="41" fontId="39" fillId="6" borderId="25" xfId="1" applyFont="1" applyFill="1" applyBorder="1">
      <alignment vertical="center"/>
    </xf>
    <xf numFmtId="0" fontId="39" fillId="6" borderId="25" xfId="0" applyFont="1" applyFill="1" applyBorder="1">
      <alignment vertical="center"/>
    </xf>
    <xf numFmtId="0" fontId="39" fillId="6" borderId="25" xfId="0" applyFont="1" applyFill="1" applyBorder="1" applyAlignment="1">
      <alignment vertical="center"/>
    </xf>
    <xf numFmtId="0" fontId="39" fillId="6" borderId="25" xfId="0" applyFont="1" applyFill="1" applyBorder="1" applyAlignment="1">
      <alignment horizontal="center" vertical="center"/>
    </xf>
    <xf numFmtId="176" fontId="39" fillId="7" borderId="39" xfId="1" applyNumberFormat="1" applyFont="1" applyFill="1" applyBorder="1" applyAlignment="1">
      <alignment horizontal="right" vertical="center"/>
    </xf>
    <xf numFmtId="176" fontId="39" fillId="0" borderId="24" xfId="27" applyNumberFormat="1" applyFont="1" applyBorder="1" applyAlignment="1">
      <alignment horizontal="right" vertical="center"/>
    </xf>
    <xf numFmtId="176" fontId="39" fillId="0" borderId="24" xfId="26" applyNumberFormat="1" applyFont="1" applyBorder="1">
      <alignment vertical="center"/>
    </xf>
    <xf numFmtId="224" fontId="39" fillId="0" borderId="24" xfId="26" applyNumberFormat="1" applyFont="1" applyBorder="1">
      <alignment vertical="center"/>
    </xf>
    <xf numFmtId="227" fontId="39" fillId="0" borderId="30" xfId="26" applyNumberFormat="1" applyFont="1" applyBorder="1">
      <alignment vertical="center"/>
    </xf>
    <xf numFmtId="187" fontId="39" fillId="0" borderId="0" xfId="26" applyNumberFormat="1" applyFont="1" applyBorder="1">
      <alignment vertical="center"/>
    </xf>
    <xf numFmtId="176" fontId="33" fillId="0" borderId="24" xfId="26" applyNumberFormat="1" applyFont="1" applyBorder="1">
      <alignment vertical="center"/>
    </xf>
    <xf numFmtId="224" fontId="33" fillId="0" borderId="24" xfId="26" applyNumberFormat="1" applyFont="1" applyBorder="1">
      <alignment vertical="center"/>
    </xf>
    <xf numFmtId="227" fontId="33" fillId="0" borderId="30" xfId="26" applyNumberFormat="1" applyFont="1" applyBorder="1">
      <alignment vertical="center"/>
    </xf>
    <xf numFmtId="49" fontId="39" fillId="0" borderId="21" xfId="26" applyNumberFormat="1" applyFont="1" applyFill="1" applyBorder="1" applyAlignment="1">
      <alignment horizontal="left" vertical="center" wrapText="1" indent="1"/>
    </xf>
    <xf numFmtId="41" fontId="39" fillId="0" borderId="21" xfId="27" applyFont="1" applyBorder="1" applyAlignment="1">
      <alignment vertical="center" wrapText="1"/>
    </xf>
    <xf numFmtId="0" fontId="39" fillId="0" borderId="21" xfId="26" applyFont="1" applyBorder="1">
      <alignment vertical="center"/>
    </xf>
    <xf numFmtId="187" fontId="39" fillId="0" borderId="21" xfId="26" applyNumberFormat="1" applyFont="1" applyBorder="1">
      <alignment vertical="center"/>
    </xf>
    <xf numFmtId="182" fontId="39" fillId="0" borderId="21" xfId="26" applyNumberFormat="1" applyFont="1" applyBorder="1">
      <alignment vertical="center"/>
    </xf>
    <xf numFmtId="182" fontId="39" fillId="0" borderId="21" xfId="26" applyNumberFormat="1" applyFont="1" applyBorder="1" applyAlignment="1">
      <alignment vertical="center"/>
    </xf>
    <xf numFmtId="176" fontId="33" fillId="0" borderId="22" xfId="26" applyNumberFormat="1" applyFont="1" applyBorder="1">
      <alignment vertical="center"/>
    </xf>
    <xf numFmtId="224" fontId="33" fillId="0" borderId="22" xfId="26" applyNumberFormat="1" applyFont="1" applyBorder="1">
      <alignment vertical="center"/>
    </xf>
    <xf numFmtId="176" fontId="97" fillId="0" borderId="24" xfId="26" applyNumberFormat="1" applyFont="1" applyBorder="1">
      <alignment vertical="center"/>
    </xf>
    <xf numFmtId="224" fontId="97" fillId="0" borderId="24" xfId="26" applyNumberFormat="1" applyFont="1" applyBorder="1">
      <alignment vertical="center"/>
    </xf>
    <xf numFmtId="227" fontId="97" fillId="0" borderId="30" xfId="26" applyNumberFormat="1" applyFont="1" applyBorder="1">
      <alignment vertical="center"/>
    </xf>
    <xf numFmtId="41" fontId="39" fillId="0" borderId="0" xfId="27" applyFont="1" applyFill="1" applyBorder="1" applyAlignment="1">
      <alignment vertical="center" wrapText="1"/>
    </xf>
    <xf numFmtId="182" fontId="39" fillId="0" borderId="0" xfId="26" applyNumberFormat="1" applyFont="1" applyFill="1" applyBorder="1" applyAlignment="1">
      <alignment vertical="center"/>
    </xf>
    <xf numFmtId="41" fontId="39" fillId="0" borderId="0" xfId="26" applyNumberFormat="1" applyFont="1" applyFill="1" applyBorder="1">
      <alignment vertical="center"/>
    </xf>
    <xf numFmtId="49" fontId="39" fillId="22" borderId="21" xfId="26" applyNumberFormat="1" applyFont="1" applyFill="1" applyBorder="1">
      <alignment vertical="center"/>
    </xf>
    <xf numFmtId="0" fontId="39" fillId="22" borderId="21" xfId="26" applyFont="1" applyFill="1" applyBorder="1" applyAlignment="1">
      <alignment vertical="center"/>
    </xf>
    <xf numFmtId="195" fontId="39" fillId="22" borderId="21" xfId="27" applyNumberFormat="1" applyFont="1" applyFill="1" applyBorder="1">
      <alignment vertical="center"/>
    </xf>
    <xf numFmtId="176" fontId="39" fillId="22" borderId="22" xfId="26" applyNumberFormat="1" applyFont="1" applyFill="1" applyBorder="1">
      <alignment vertical="center"/>
    </xf>
    <xf numFmtId="224" fontId="39" fillId="22" borderId="22" xfId="26" applyNumberFormat="1" applyFont="1" applyFill="1" applyBorder="1">
      <alignment vertical="center"/>
    </xf>
    <xf numFmtId="227" fontId="39" fillId="22" borderId="23" xfId="2" applyNumberFormat="1" applyFont="1" applyFill="1" applyBorder="1">
      <alignment vertical="center"/>
    </xf>
    <xf numFmtId="197" fontId="39" fillId="0" borderId="0" xfId="26" applyNumberFormat="1" applyFont="1" applyBorder="1">
      <alignment vertical="center"/>
    </xf>
    <xf numFmtId="196" fontId="39" fillId="0" borderId="0" xfId="26" applyNumberFormat="1" applyFont="1" applyFill="1" applyBorder="1">
      <alignment vertical="center"/>
    </xf>
    <xf numFmtId="224" fontId="33" fillId="0" borderId="24" xfId="27" applyNumberFormat="1" applyFont="1" applyBorder="1">
      <alignment vertical="center"/>
    </xf>
    <xf numFmtId="49" fontId="39" fillId="0" borderId="0" xfId="26" applyNumberFormat="1" applyFont="1" applyFill="1" applyBorder="1" applyAlignment="1">
      <alignment horizontal="left" vertical="center" indent="1" shrinkToFit="1"/>
    </xf>
    <xf numFmtId="190" fontId="39" fillId="0" borderId="0" xfId="26" applyNumberFormat="1" applyFont="1" applyFill="1" applyBorder="1">
      <alignment vertical="center"/>
    </xf>
    <xf numFmtId="180" fontId="39" fillId="0" borderId="0" xfId="26" applyNumberFormat="1" applyFont="1" applyFill="1" applyBorder="1">
      <alignment vertical="center"/>
    </xf>
    <xf numFmtId="224" fontId="97" fillId="0" borderId="24" xfId="27" applyNumberFormat="1" applyFont="1" applyBorder="1">
      <alignment vertical="center"/>
    </xf>
    <xf numFmtId="190" fontId="39" fillId="0" borderId="0" xfId="26" applyNumberFormat="1" applyFont="1" applyBorder="1">
      <alignment vertical="center"/>
    </xf>
    <xf numFmtId="196" fontId="39" fillId="0" borderId="0" xfId="26" applyNumberFormat="1" applyFont="1" applyBorder="1">
      <alignment vertical="center"/>
    </xf>
    <xf numFmtId="201" fontId="39" fillId="0" borderId="0" xfId="26" applyNumberFormat="1" applyFont="1" applyBorder="1">
      <alignment vertical="center"/>
    </xf>
    <xf numFmtId="224" fontId="39" fillId="0" borderId="24" xfId="27" applyNumberFormat="1" applyFont="1" applyBorder="1" applyAlignment="1">
      <alignment horizontal="center" vertical="center"/>
    </xf>
    <xf numFmtId="196" fontId="39" fillId="0" borderId="21" xfId="26" applyNumberFormat="1" applyFont="1" applyBorder="1">
      <alignment vertical="center"/>
    </xf>
    <xf numFmtId="176" fontId="39" fillId="0" borderId="22" xfId="27" applyNumberFormat="1" applyFont="1" applyBorder="1" applyAlignment="1">
      <alignment horizontal="right" vertical="center"/>
    </xf>
    <xf numFmtId="176" fontId="39" fillId="0" borderId="22" xfId="26" applyNumberFormat="1" applyFont="1" applyBorder="1">
      <alignment vertical="center"/>
    </xf>
    <xf numFmtId="224" fontId="39" fillId="0" borderId="22" xfId="26" applyNumberFormat="1" applyFont="1" applyBorder="1">
      <alignment vertical="center"/>
    </xf>
    <xf numFmtId="176" fontId="39" fillId="7" borderId="44" xfId="1" applyNumberFormat="1" applyFont="1" applyFill="1" applyBorder="1" applyAlignment="1">
      <alignment horizontal="right" vertical="center"/>
    </xf>
    <xf numFmtId="49" fontId="55" fillId="0" borderId="0" xfId="26" applyNumberFormat="1" applyFont="1" applyFill="1" applyBorder="1" applyAlignment="1">
      <alignment horizontal="left" vertical="center" wrapText="1" indent="1"/>
    </xf>
    <xf numFmtId="0" fontId="55" fillId="0" borderId="0" xfId="26" applyNumberFormat="1" applyFont="1" applyBorder="1">
      <alignment vertical="center"/>
    </xf>
    <xf numFmtId="187" fontId="55" fillId="0" borderId="0" xfId="26" applyNumberFormat="1" applyFont="1" applyBorder="1">
      <alignment vertical="center"/>
    </xf>
    <xf numFmtId="0" fontId="55" fillId="0" borderId="0" xfId="26" applyNumberFormat="1" applyFont="1" applyBorder="1" applyAlignment="1">
      <alignment vertical="center"/>
    </xf>
    <xf numFmtId="0" fontId="55" fillId="0" borderId="0" xfId="26" applyNumberFormat="1" applyFont="1" applyBorder="1" applyAlignment="1">
      <alignment horizontal="center" vertical="center"/>
    </xf>
    <xf numFmtId="206" fontId="55" fillId="0" borderId="0" xfId="26" applyNumberFormat="1" applyFont="1" applyBorder="1">
      <alignment vertical="center"/>
    </xf>
    <xf numFmtId="181" fontId="55" fillId="0" borderId="0" xfId="26" applyNumberFormat="1" applyFont="1" applyBorder="1">
      <alignment vertical="center"/>
    </xf>
    <xf numFmtId="176" fontId="33" fillId="0" borderId="31" xfId="26" applyNumberFormat="1" applyFont="1" applyBorder="1">
      <alignment vertical="center"/>
    </xf>
    <xf numFmtId="49" fontId="55" fillId="22" borderId="0" xfId="0" applyNumberFormat="1" applyFont="1" applyFill="1" applyBorder="1">
      <alignment vertical="center"/>
    </xf>
    <xf numFmtId="41" fontId="55" fillId="22" borderId="0" xfId="4" applyNumberFormat="1" applyFont="1" applyFill="1" applyBorder="1">
      <alignment vertical="center"/>
    </xf>
    <xf numFmtId="0" fontId="55" fillId="22" borderId="0" xfId="0" applyNumberFormat="1" applyFont="1" applyFill="1" applyBorder="1">
      <alignment vertical="center"/>
    </xf>
    <xf numFmtId="180" fontId="55" fillId="22" borderId="0" xfId="0" applyNumberFormat="1" applyFont="1" applyFill="1" applyBorder="1">
      <alignment vertical="center"/>
    </xf>
    <xf numFmtId="0" fontId="55" fillId="22" borderId="0" xfId="0" applyNumberFormat="1" applyFont="1" applyFill="1" applyBorder="1" applyAlignment="1">
      <alignment vertical="center"/>
    </xf>
    <xf numFmtId="0" fontId="55" fillId="22" borderId="0" xfId="0" applyNumberFormat="1" applyFont="1" applyFill="1" applyBorder="1" applyAlignment="1">
      <alignment horizontal="center" vertical="center"/>
    </xf>
    <xf numFmtId="195" fontId="55" fillId="22" borderId="0" xfId="4" applyNumberFormat="1" applyFont="1" applyFill="1" applyBorder="1">
      <alignment vertical="center"/>
    </xf>
    <xf numFmtId="176" fontId="33" fillId="22" borderId="31" xfId="1" applyNumberFormat="1" applyFont="1" applyFill="1" applyBorder="1" applyAlignment="1">
      <alignment horizontal="right" vertical="center"/>
    </xf>
    <xf numFmtId="41" fontId="55" fillId="0" borderId="0" xfId="4" applyNumberFormat="1" applyFont="1" applyFill="1" applyBorder="1">
      <alignment vertical="center"/>
    </xf>
    <xf numFmtId="180" fontId="39" fillId="0" borderId="0" xfId="26" applyNumberFormat="1" applyFont="1" applyFill="1" applyBorder="1" applyAlignment="1">
      <alignment horizontal="right" vertical="center"/>
    </xf>
    <xf numFmtId="0" fontId="55" fillId="0" borderId="0" xfId="0" applyNumberFormat="1" applyFont="1" applyFill="1" applyBorder="1">
      <alignment vertical="center"/>
    </xf>
    <xf numFmtId="0" fontId="55" fillId="0" borderId="0" xfId="0" applyNumberFormat="1" applyFont="1" applyFill="1" applyBorder="1" applyAlignment="1">
      <alignment vertical="center"/>
    </xf>
    <xf numFmtId="0" fontId="55" fillId="0" borderId="0" xfId="0" applyNumberFormat="1" applyFont="1" applyFill="1" applyBorder="1" applyAlignment="1">
      <alignment horizontal="center" vertical="center"/>
    </xf>
    <xf numFmtId="206" fontId="55" fillId="0" borderId="21" xfId="26" applyNumberFormat="1" applyFont="1" applyBorder="1">
      <alignment vertical="center"/>
    </xf>
    <xf numFmtId="176" fontId="33" fillId="0" borderId="31" xfId="1" applyNumberFormat="1" applyFont="1" applyBorder="1" applyAlignment="1">
      <alignment horizontal="right" vertical="center"/>
    </xf>
    <xf numFmtId="0" fontId="39" fillId="0" borderId="0" xfId="26" applyFont="1" applyFill="1" applyBorder="1" applyAlignment="1">
      <alignment vertical="center"/>
    </xf>
    <xf numFmtId="176" fontId="33" fillId="0" borderId="24" xfId="27" applyNumberFormat="1" applyFont="1" applyFill="1" applyBorder="1" applyAlignment="1">
      <alignment horizontal="right" vertical="center"/>
    </xf>
    <xf numFmtId="176" fontId="33" fillId="0" borderId="24" xfId="26" applyNumberFormat="1" applyFont="1" applyFill="1" applyBorder="1">
      <alignment vertical="center"/>
    </xf>
    <xf numFmtId="224" fontId="33" fillId="0" borderId="24" xfId="26" applyNumberFormat="1" applyFont="1" applyFill="1" applyBorder="1">
      <alignment vertical="center"/>
    </xf>
    <xf numFmtId="227" fontId="33" fillId="0" borderId="30" xfId="26" applyNumberFormat="1" applyFont="1" applyFill="1" applyBorder="1">
      <alignment vertical="center"/>
    </xf>
    <xf numFmtId="49" fontId="39" fillId="0" borderId="25" xfId="0" applyNumberFormat="1" applyFont="1" applyFill="1" applyBorder="1">
      <alignment vertical="center"/>
    </xf>
    <xf numFmtId="227" fontId="65" fillId="0" borderId="30" xfId="26" applyNumberFormat="1" applyFont="1" applyBorder="1" applyAlignment="1">
      <alignment horizontal="right" vertical="center"/>
    </xf>
    <xf numFmtId="41" fontId="39" fillId="0" borderId="0" xfId="0" applyNumberFormat="1" applyFont="1">
      <alignment vertical="center"/>
    </xf>
    <xf numFmtId="182" fontId="55" fillId="0" borderId="0" xfId="26" applyNumberFormat="1" applyFont="1" applyBorder="1" applyAlignment="1">
      <alignment vertical="center"/>
    </xf>
    <xf numFmtId="182" fontId="55" fillId="0" borderId="0" xfId="26" applyNumberFormat="1" applyFont="1" applyBorder="1">
      <alignment vertical="center"/>
    </xf>
    <xf numFmtId="41" fontId="55" fillId="0" borderId="0" xfId="47" applyNumberFormat="1" applyFont="1" applyBorder="1">
      <alignment vertical="center"/>
    </xf>
    <xf numFmtId="41" fontId="55" fillId="0" borderId="0" xfId="47" applyNumberFormat="1" applyFont="1" applyBorder="1" applyAlignment="1">
      <alignment vertical="center" wrapText="1"/>
    </xf>
    <xf numFmtId="180" fontId="55" fillId="0" borderId="0" xfId="26" applyNumberFormat="1" applyFont="1" applyBorder="1">
      <alignment vertical="center"/>
    </xf>
    <xf numFmtId="197" fontId="55" fillId="0" borderId="0" xfId="26" applyNumberFormat="1" applyFont="1" applyBorder="1">
      <alignment vertical="center"/>
    </xf>
    <xf numFmtId="187" fontId="55" fillId="0" borderId="0" xfId="26" applyNumberFormat="1" applyFont="1" applyBorder="1" applyAlignment="1">
      <alignment horizontal="right" vertical="center"/>
    </xf>
    <xf numFmtId="49" fontId="55" fillId="0" borderId="21" xfId="26" applyNumberFormat="1" applyFont="1" applyFill="1" applyBorder="1" applyAlignment="1">
      <alignment horizontal="left" vertical="center" wrapText="1" indent="1"/>
    </xf>
    <xf numFmtId="0" fontId="55" fillId="0" borderId="21" xfId="26" applyNumberFormat="1" applyFont="1" applyBorder="1">
      <alignment vertical="center"/>
    </xf>
    <xf numFmtId="187" fontId="55" fillId="0" borderId="21" xfId="26" applyNumberFormat="1" applyFont="1" applyBorder="1">
      <alignment vertical="center"/>
    </xf>
    <xf numFmtId="0" fontId="55" fillId="0" borderId="21" xfId="26" applyNumberFormat="1" applyFont="1" applyBorder="1" applyAlignment="1">
      <alignment vertical="center"/>
    </xf>
    <xf numFmtId="0" fontId="55" fillId="0" borderId="21" xfId="26" applyNumberFormat="1" applyFont="1" applyBorder="1" applyAlignment="1">
      <alignment horizontal="center" vertical="center"/>
    </xf>
    <xf numFmtId="227" fontId="65" fillId="0" borderId="23" xfId="26" applyNumberFormat="1" applyFont="1" applyBorder="1" applyAlignment="1">
      <alignment horizontal="right" vertical="center"/>
    </xf>
    <xf numFmtId="193" fontId="55" fillId="0" borderId="0" xfId="26" applyNumberFormat="1" applyFont="1" applyBorder="1">
      <alignment vertical="center"/>
    </xf>
    <xf numFmtId="41" fontId="55" fillId="0" borderId="0" xfId="25" applyNumberFormat="1" applyFont="1" applyFill="1" applyBorder="1" applyAlignment="1">
      <alignment vertical="center" wrapText="1"/>
    </xf>
    <xf numFmtId="0" fontId="55" fillId="0" borderId="0" xfId="26" applyNumberFormat="1" applyFont="1" applyFill="1" applyBorder="1">
      <alignment vertical="center"/>
    </xf>
    <xf numFmtId="181" fontId="55" fillId="0" borderId="0" xfId="26" applyNumberFormat="1" applyFont="1" applyFill="1" applyBorder="1">
      <alignment vertical="center"/>
    </xf>
    <xf numFmtId="187" fontId="55" fillId="0" borderId="0" xfId="26" applyNumberFormat="1" applyFont="1" applyFill="1" applyBorder="1">
      <alignment vertical="center"/>
    </xf>
    <xf numFmtId="182" fontId="55" fillId="0" borderId="0" xfId="26" applyNumberFormat="1" applyFont="1" applyFill="1" applyBorder="1" applyAlignment="1">
      <alignment vertical="center"/>
    </xf>
    <xf numFmtId="182" fontId="55" fillId="0" borderId="0" xfId="26" applyNumberFormat="1" applyFont="1" applyFill="1" applyBorder="1">
      <alignment vertical="center"/>
    </xf>
    <xf numFmtId="0" fontId="55" fillId="0" borderId="0" xfId="26" applyNumberFormat="1" applyFont="1" applyFill="1" applyBorder="1" applyAlignment="1">
      <alignment horizontal="center" vertical="center"/>
    </xf>
    <xf numFmtId="206" fontId="55" fillId="0" borderId="0" xfId="26" applyNumberFormat="1" applyFont="1" applyFill="1" applyBorder="1">
      <alignment vertical="center"/>
    </xf>
    <xf numFmtId="227" fontId="65" fillId="0" borderId="30" xfId="26" applyNumberFormat="1" applyFont="1" applyFill="1" applyBorder="1" applyAlignment="1">
      <alignment horizontal="right" vertical="center"/>
    </xf>
    <xf numFmtId="0" fontId="84" fillId="6" borderId="25" xfId="26" applyFont="1" applyFill="1" applyBorder="1" applyAlignment="1">
      <alignment vertical="center"/>
    </xf>
    <xf numFmtId="49" fontId="39" fillId="6" borderId="25" xfId="26" applyNumberFormat="1" applyFont="1" applyFill="1" applyBorder="1">
      <alignment vertical="center"/>
    </xf>
    <xf numFmtId="41" fontId="39" fillId="6" borderId="25" xfId="27" applyFont="1" applyFill="1" applyBorder="1">
      <alignment vertical="center"/>
    </xf>
    <xf numFmtId="0" fontId="39" fillId="6" borderId="25" xfId="26" applyFont="1" applyFill="1" applyBorder="1">
      <alignment vertical="center"/>
    </xf>
    <xf numFmtId="0" fontId="39" fillId="6" borderId="25" xfId="26" applyFont="1" applyFill="1" applyBorder="1" applyAlignment="1">
      <alignment vertical="center"/>
    </xf>
    <xf numFmtId="0" fontId="39" fillId="6" borderId="25" xfId="26" applyFont="1" applyFill="1" applyBorder="1" applyAlignment="1">
      <alignment horizontal="center" vertical="center"/>
    </xf>
    <xf numFmtId="224" fontId="84" fillId="6" borderId="27" xfId="27" applyNumberFormat="1" applyFont="1" applyFill="1" applyBorder="1" applyAlignment="1">
      <alignment horizontal="right" vertical="center"/>
    </xf>
    <xf numFmtId="227" fontId="84" fillId="6" borderId="28" xfId="27" applyNumberFormat="1" applyFont="1" applyFill="1" applyBorder="1" applyAlignment="1">
      <alignment horizontal="right" vertical="center"/>
    </xf>
    <xf numFmtId="49" fontId="39" fillId="0" borderId="37" xfId="0" applyNumberFormat="1" applyFont="1" applyFill="1" applyBorder="1">
      <alignment vertical="center"/>
    </xf>
    <xf numFmtId="41" fontId="39" fillId="0" borderId="37" xfId="1" applyFont="1" applyBorder="1">
      <alignment vertical="center"/>
    </xf>
    <xf numFmtId="0" fontId="39" fillId="0" borderId="37" xfId="0" applyFont="1" applyBorder="1">
      <alignment vertical="center"/>
    </xf>
    <xf numFmtId="0" fontId="39" fillId="0" borderId="37" xfId="0" applyFont="1" applyBorder="1" applyAlignment="1">
      <alignment vertical="center"/>
    </xf>
    <xf numFmtId="0" fontId="39" fillId="0" borderId="37" xfId="0" applyFont="1" applyBorder="1" applyAlignment="1">
      <alignment horizontal="center" vertical="center"/>
    </xf>
    <xf numFmtId="195" fontId="39" fillId="0" borderId="0" xfId="1" applyNumberFormat="1" applyFont="1" applyBorder="1">
      <alignment vertical="center"/>
    </xf>
    <xf numFmtId="227" fontId="33" fillId="0" borderId="38" xfId="1" applyNumberFormat="1" applyFont="1" applyBorder="1" applyAlignment="1">
      <alignment horizontal="right" vertical="center"/>
    </xf>
    <xf numFmtId="181" fontId="39" fillId="0" borderId="0" xfId="0" applyNumberFormat="1" applyFont="1" applyBorder="1">
      <alignment vertical="center"/>
    </xf>
    <xf numFmtId="0" fontId="39" fillId="0" borderId="0" xfId="0" applyFont="1" applyBorder="1" applyAlignment="1">
      <alignment vertical="center"/>
    </xf>
    <xf numFmtId="183" fontId="39" fillId="0" borderId="0" xfId="0" applyNumberFormat="1" applyFont="1" applyBorder="1">
      <alignment vertical="center"/>
    </xf>
    <xf numFmtId="227" fontId="33" fillId="0" borderId="23" xfId="1" applyNumberFormat="1" applyFont="1" applyBorder="1" applyAlignment="1">
      <alignment horizontal="right" vertical="center"/>
    </xf>
    <xf numFmtId="181" fontId="39" fillId="0" borderId="0" xfId="26" applyNumberFormat="1" applyFont="1" applyFill="1" applyBorder="1">
      <alignment vertical="center"/>
    </xf>
    <xf numFmtId="0" fontId="33" fillId="0" borderId="0" xfId="26" applyFont="1">
      <alignment vertical="center"/>
    </xf>
    <xf numFmtId="176" fontId="102" fillId="0" borderId="24" xfId="27" applyNumberFormat="1" applyFont="1" applyBorder="1" applyAlignment="1">
      <alignment horizontal="right" vertical="center"/>
    </xf>
    <xf numFmtId="224" fontId="102" fillId="0" borderId="24" xfId="27" applyNumberFormat="1" applyFont="1" applyBorder="1" applyAlignment="1">
      <alignment horizontal="right" vertical="center"/>
    </xf>
    <xf numFmtId="227" fontId="102" fillId="0" borderId="30" xfId="26" applyNumberFormat="1" applyFont="1" applyBorder="1" applyAlignment="1">
      <alignment horizontal="right" vertical="center"/>
    </xf>
    <xf numFmtId="49" fontId="39" fillId="0" borderId="21" xfId="26" applyNumberFormat="1" applyFont="1" applyFill="1" applyBorder="1" applyAlignment="1">
      <alignment horizontal="left" vertical="center" indent="1"/>
    </xf>
    <xf numFmtId="184" fontId="39" fillId="0" borderId="0" xfId="26" applyNumberFormat="1" applyFont="1" applyFill="1" applyBorder="1">
      <alignment vertical="center"/>
    </xf>
    <xf numFmtId="176" fontId="102" fillId="0" borderId="24" xfId="27" applyNumberFormat="1" applyFont="1" applyFill="1" applyBorder="1" applyAlignment="1">
      <alignment horizontal="right" vertical="center"/>
    </xf>
    <xf numFmtId="224" fontId="102" fillId="0" borderId="24" xfId="27" applyNumberFormat="1" applyFont="1" applyFill="1" applyBorder="1" applyAlignment="1">
      <alignment horizontal="right" vertical="center"/>
    </xf>
    <xf numFmtId="227" fontId="102" fillId="0" borderId="30" xfId="26" applyNumberFormat="1" applyFont="1" applyFill="1" applyBorder="1" applyAlignment="1">
      <alignment horizontal="right" vertical="center"/>
    </xf>
    <xf numFmtId="176" fontId="39" fillId="0" borderId="24" xfId="27" applyNumberFormat="1" applyFont="1" applyFill="1" applyBorder="1" applyAlignment="1">
      <alignment horizontal="right" vertical="center"/>
    </xf>
    <xf numFmtId="224" fontId="39" fillId="0" borderId="24" xfId="27" applyNumberFormat="1" applyFont="1" applyFill="1" applyBorder="1" applyAlignment="1">
      <alignment horizontal="right" vertical="center"/>
    </xf>
    <xf numFmtId="227" fontId="39" fillId="0" borderId="30" xfId="27" applyNumberFormat="1" applyFont="1" applyFill="1" applyBorder="1" applyAlignment="1">
      <alignment horizontal="right" vertical="center"/>
    </xf>
    <xf numFmtId="176" fontId="39" fillId="0" borderId="22" xfId="27" applyNumberFormat="1" applyFont="1" applyFill="1" applyBorder="1" applyAlignment="1">
      <alignment horizontal="right" vertical="center"/>
    </xf>
    <xf numFmtId="224" fontId="39" fillId="0" borderId="22" xfId="27" applyNumberFormat="1" applyFont="1" applyFill="1" applyBorder="1" applyAlignment="1">
      <alignment horizontal="right" vertical="center"/>
    </xf>
    <xf numFmtId="227" fontId="39" fillId="0" borderId="23" xfId="27" applyNumberFormat="1" applyFont="1" applyFill="1" applyBorder="1" applyAlignment="1">
      <alignment horizontal="right" vertical="center"/>
    </xf>
    <xf numFmtId="224" fontId="39" fillId="0" borderId="24" xfId="27" applyNumberFormat="1" applyFont="1" applyBorder="1" applyAlignment="1">
      <alignment horizontal="right" vertical="center"/>
    </xf>
    <xf numFmtId="227" fontId="39" fillId="0" borderId="30" xfId="27" applyNumberFormat="1" applyFont="1" applyBorder="1" applyAlignment="1">
      <alignment horizontal="right" vertical="center"/>
    </xf>
    <xf numFmtId="187" fontId="39" fillId="0" borderId="0" xfId="26" applyNumberFormat="1" applyFont="1" applyFill="1" applyBorder="1">
      <alignment vertical="center"/>
    </xf>
    <xf numFmtId="41" fontId="39" fillId="0" borderId="21" xfId="27" applyFont="1" applyFill="1" applyBorder="1">
      <alignment vertical="center"/>
    </xf>
    <xf numFmtId="0" fontId="39" fillId="0" borderId="21" xfId="26" applyFont="1" applyFill="1" applyBorder="1">
      <alignment vertical="center"/>
    </xf>
    <xf numFmtId="191" fontId="39" fillId="0" borderId="21" xfId="26" applyNumberFormat="1" applyFont="1" applyFill="1" applyBorder="1">
      <alignment vertical="center"/>
    </xf>
    <xf numFmtId="182" fontId="39" fillId="0" borderId="21" xfId="26" applyNumberFormat="1" applyFont="1" applyFill="1" applyBorder="1">
      <alignment vertical="center"/>
    </xf>
    <xf numFmtId="182" fontId="39" fillId="0" borderId="21" xfId="26" applyNumberFormat="1" applyFont="1" applyFill="1" applyBorder="1" applyAlignment="1">
      <alignment vertical="center"/>
    </xf>
    <xf numFmtId="0" fontId="39" fillId="0" borderId="21" xfId="26" applyFont="1" applyFill="1" applyBorder="1" applyAlignment="1">
      <alignment horizontal="center" vertical="center"/>
    </xf>
    <xf numFmtId="41" fontId="39" fillId="0" borderId="21" xfId="26" applyNumberFormat="1" applyFont="1" applyFill="1" applyBorder="1">
      <alignment vertical="center"/>
    </xf>
    <xf numFmtId="195" fontId="39" fillId="0" borderId="0" xfId="27" applyNumberFormat="1" applyFont="1" applyFill="1" applyBorder="1">
      <alignment vertical="center"/>
    </xf>
    <xf numFmtId="49" fontId="33" fillId="0" borderId="0" xfId="26" applyNumberFormat="1" applyFont="1" applyFill="1" applyBorder="1" applyAlignment="1">
      <alignment horizontal="left" vertical="center" indent="1"/>
    </xf>
    <xf numFmtId="41" fontId="33" fillId="0" borderId="0" xfId="27" applyFont="1" applyFill="1" applyBorder="1">
      <alignment vertical="center"/>
    </xf>
    <xf numFmtId="187" fontId="33" fillId="0" borderId="0" xfId="26" applyNumberFormat="1" applyFont="1" applyFill="1" applyBorder="1">
      <alignment vertical="center"/>
    </xf>
    <xf numFmtId="182" fontId="33" fillId="0" borderId="0" xfId="26" applyNumberFormat="1" applyFont="1" applyFill="1" applyBorder="1">
      <alignment vertical="center"/>
    </xf>
    <xf numFmtId="182" fontId="33" fillId="0" borderId="0" xfId="26" applyNumberFormat="1" applyFont="1" applyFill="1" applyBorder="1" applyAlignment="1">
      <alignment vertical="center"/>
    </xf>
    <xf numFmtId="0" fontId="33" fillId="0" borderId="0" xfId="26" applyFont="1" applyFill="1" applyBorder="1" applyAlignment="1">
      <alignment horizontal="center" vertical="center"/>
    </xf>
    <xf numFmtId="41" fontId="33" fillId="0" borderId="0" xfId="26" applyNumberFormat="1" applyFont="1" applyFill="1" applyBorder="1">
      <alignment vertical="center"/>
    </xf>
    <xf numFmtId="176" fontId="39" fillId="0" borderId="24" xfId="26" applyNumberFormat="1" applyFont="1" applyFill="1" applyBorder="1">
      <alignment vertical="center"/>
    </xf>
    <xf numFmtId="224" fontId="39" fillId="0" borderId="24" xfId="26" applyNumberFormat="1" applyFont="1" applyFill="1" applyBorder="1">
      <alignment vertical="center"/>
    </xf>
    <xf numFmtId="227" fontId="39" fillId="0" borderId="30" xfId="26" applyNumberFormat="1" applyFont="1" applyFill="1" applyBorder="1">
      <alignment vertical="center"/>
    </xf>
    <xf numFmtId="181" fontId="33" fillId="0" borderId="0" xfId="26" applyNumberFormat="1" applyFont="1" applyFill="1" applyBorder="1">
      <alignment vertical="center"/>
    </xf>
    <xf numFmtId="49" fontId="33" fillId="0" borderId="0" xfId="26" applyNumberFormat="1" applyFont="1" applyFill="1" applyBorder="1" applyAlignment="1">
      <alignment horizontal="left" vertical="center" wrapText="1" indent="1"/>
    </xf>
    <xf numFmtId="187" fontId="33" fillId="0" borderId="21" xfId="26" applyNumberFormat="1" applyFont="1" applyFill="1" applyBorder="1">
      <alignment vertical="center"/>
    </xf>
    <xf numFmtId="182" fontId="33" fillId="0" borderId="21" xfId="26" applyNumberFormat="1" applyFont="1" applyFill="1" applyBorder="1" applyAlignment="1">
      <alignment vertical="center"/>
    </xf>
    <xf numFmtId="0" fontId="33" fillId="0" borderId="21" xfId="26" applyFont="1" applyFill="1" applyBorder="1" applyAlignment="1">
      <alignment horizontal="center" vertical="center"/>
    </xf>
    <xf numFmtId="176" fontId="39" fillId="0" borderId="22" xfId="26" applyNumberFormat="1" applyFont="1" applyFill="1" applyBorder="1">
      <alignment vertical="center"/>
    </xf>
    <xf numFmtId="224" fontId="39" fillId="0" borderId="22" xfId="26" applyNumberFormat="1" applyFont="1" applyFill="1" applyBorder="1">
      <alignment vertical="center"/>
    </xf>
    <xf numFmtId="49" fontId="55" fillId="0" borderId="0" xfId="26" applyNumberFormat="1" applyFont="1" applyFill="1" applyBorder="1" applyAlignment="1">
      <alignment horizontal="left" vertical="center" indent="1"/>
    </xf>
    <xf numFmtId="197" fontId="39" fillId="0" borderId="0" xfId="26" applyNumberFormat="1" applyFont="1" applyFill="1" applyBorder="1">
      <alignment vertical="center"/>
    </xf>
    <xf numFmtId="197" fontId="39" fillId="0" borderId="0" xfId="26" applyNumberFormat="1" applyFont="1" applyFill="1" applyBorder="1" applyAlignment="1">
      <alignment horizontal="right" vertical="center"/>
    </xf>
    <xf numFmtId="191" fontId="39" fillId="0" borderId="0" xfId="26" applyNumberFormat="1" applyFont="1" applyFill="1" applyBorder="1">
      <alignment vertical="center"/>
    </xf>
    <xf numFmtId="187" fontId="39" fillId="0" borderId="0" xfId="26" applyNumberFormat="1" applyFont="1" applyFill="1" applyBorder="1" applyAlignment="1">
      <alignment horizontal="right" vertical="center"/>
    </xf>
    <xf numFmtId="41" fontId="39" fillId="0" borderId="0" xfId="1" applyFont="1" applyFill="1" applyBorder="1">
      <alignment vertical="center"/>
    </xf>
    <xf numFmtId="41" fontId="39" fillId="0" borderId="0" xfId="48" applyFont="1" applyFill="1" applyBorder="1">
      <alignment vertical="center"/>
    </xf>
    <xf numFmtId="201" fontId="39" fillId="0" borderId="0" xfId="26" applyNumberFormat="1" applyFont="1" applyFill="1" applyBorder="1">
      <alignment vertical="center"/>
    </xf>
    <xf numFmtId="49" fontId="39" fillId="0" borderId="0" xfId="26" applyNumberFormat="1" applyFont="1" applyFill="1" applyBorder="1">
      <alignment vertical="center"/>
    </xf>
    <xf numFmtId="177" fontId="39" fillId="0" borderId="0" xfId="26" applyNumberFormat="1" applyFont="1" applyFill="1" applyBorder="1">
      <alignment vertical="center"/>
    </xf>
    <xf numFmtId="41" fontId="55" fillId="0" borderId="21" xfId="47" applyNumberFormat="1" applyFont="1" applyBorder="1">
      <alignment vertical="center"/>
    </xf>
    <xf numFmtId="41" fontId="55" fillId="0" borderId="0" xfId="25" applyNumberFormat="1" applyFont="1" applyFill="1" applyBorder="1">
      <alignment vertical="center"/>
    </xf>
    <xf numFmtId="0" fontId="55" fillId="0" borderId="0" xfId="26" applyNumberFormat="1" applyFont="1" applyFill="1" applyBorder="1" applyAlignment="1">
      <alignment vertical="center"/>
    </xf>
    <xf numFmtId="0" fontId="39" fillId="0" borderId="0" xfId="24" applyNumberFormat="1" applyFont="1" applyFill="1" applyBorder="1">
      <alignment vertical="center"/>
    </xf>
    <xf numFmtId="182" fontId="39" fillId="0" borderId="0" xfId="24" applyNumberFormat="1" applyFont="1" applyFill="1" applyBorder="1" applyAlignment="1">
      <alignment vertical="center"/>
    </xf>
    <xf numFmtId="0" fontId="39" fillId="0" borderId="0" xfId="24" applyNumberFormat="1" applyFont="1" applyFill="1" applyBorder="1" applyAlignment="1">
      <alignment horizontal="center" vertical="center"/>
    </xf>
    <xf numFmtId="41" fontId="39" fillId="0" borderId="0" xfId="24" applyNumberFormat="1" applyFont="1" applyFill="1" applyBorder="1">
      <alignment vertical="center"/>
    </xf>
    <xf numFmtId="176" fontId="64" fillId="0" borderId="24" xfId="25" applyNumberFormat="1" applyFont="1" applyBorder="1" applyAlignment="1">
      <alignment horizontal="right" vertical="center"/>
    </xf>
    <xf numFmtId="49" fontId="39" fillId="0" borderId="114" xfId="26" applyNumberFormat="1" applyFont="1" applyFill="1" applyBorder="1" applyAlignment="1">
      <alignment horizontal="left" vertical="center" indent="1"/>
    </xf>
    <xf numFmtId="41" fontId="39" fillId="0" borderId="114" xfId="27" applyFont="1" applyFill="1" applyBorder="1" applyAlignment="1">
      <alignment vertical="center" wrapText="1"/>
    </xf>
    <xf numFmtId="0" fontId="39" fillId="0" borderId="114" xfId="24" applyNumberFormat="1" applyFont="1" applyFill="1" applyBorder="1">
      <alignment vertical="center"/>
    </xf>
    <xf numFmtId="197" fontId="39" fillId="0" borderId="114" xfId="26" applyNumberFormat="1" applyFont="1" applyFill="1" applyBorder="1">
      <alignment vertical="center"/>
    </xf>
    <xf numFmtId="187" fontId="39" fillId="0" borderId="114" xfId="24" applyNumberFormat="1" applyFont="1" applyFill="1" applyBorder="1">
      <alignment vertical="center"/>
    </xf>
    <xf numFmtId="182" fontId="39" fillId="0" borderId="114" xfId="24" applyNumberFormat="1" applyFont="1" applyFill="1" applyBorder="1" applyAlignment="1">
      <alignment vertical="center"/>
    </xf>
    <xf numFmtId="182" fontId="39" fillId="0" borderId="114" xfId="24" applyNumberFormat="1" applyFont="1" applyFill="1" applyBorder="1">
      <alignment vertical="center"/>
    </xf>
    <xf numFmtId="0" fontId="39" fillId="0" borderId="114" xfId="24" applyNumberFormat="1" applyFont="1" applyFill="1" applyBorder="1" applyAlignment="1">
      <alignment horizontal="center" vertical="center"/>
    </xf>
    <xf numFmtId="41" fontId="39" fillId="0" borderId="115" xfId="24" applyNumberFormat="1" applyFont="1" applyFill="1" applyBorder="1">
      <alignment vertical="center"/>
    </xf>
    <xf numFmtId="49" fontId="55" fillId="0" borderId="0" xfId="26" applyNumberFormat="1" applyFont="1" applyFill="1" applyBorder="1">
      <alignment vertical="center"/>
    </xf>
    <xf numFmtId="41" fontId="55" fillId="0" borderId="0" xfId="47" applyNumberFormat="1" applyFont="1" applyFill="1" applyBorder="1" applyAlignment="1">
      <alignment vertical="center" wrapText="1"/>
    </xf>
    <xf numFmtId="49" fontId="39" fillId="0" borderId="21" xfId="26" applyNumberFormat="1" applyFont="1" applyFill="1" applyBorder="1">
      <alignment vertical="center"/>
    </xf>
    <xf numFmtId="41" fontId="39" fillId="0" borderId="21" xfId="27" applyFont="1" applyFill="1" applyBorder="1" applyAlignment="1">
      <alignment vertical="center" wrapText="1"/>
    </xf>
    <xf numFmtId="187" fontId="39" fillId="0" borderId="21" xfId="26" applyNumberFormat="1" applyFont="1" applyFill="1" applyBorder="1">
      <alignment vertical="center"/>
    </xf>
    <xf numFmtId="227" fontId="33" fillId="0" borderId="23" xfId="26" applyNumberFormat="1" applyFont="1" applyBorder="1">
      <alignment vertical="center"/>
    </xf>
    <xf numFmtId="227" fontId="39" fillId="0" borderId="23" xfId="1" applyNumberFormat="1" applyFont="1" applyBorder="1" applyAlignment="1">
      <alignment horizontal="right" vertical="center"/>
    </xf>
    <xf numFmtId="0" fontId="64" fillId="0" borderId="51" xfId="3" applyNumberFormat="1" applyFont="1" applyFill="1" applyBorder="1">
      <alignment vertical="center"/>
    </xf>
    <xf numFmtId="0" fontId="39" fillId="0" borderId="10" xfId="26" applyFont="1" applyBorder="1" applyAlignment="1">
      <alignment horizontal="left" vertical="center" wrapText="1" indent="1"/>
    </xf>
    <xf numFmtId="41" fontId="39" fillId="0" borderId="10" xfId="27" applyFont="1" applyBorder="1" applyAlignment="1">
      <alignment vertical="center" wrapText="1"/>
    </xf>
    <xf numFmtId="0" fontId="39" fillId="0" borderId="10" xfId="26" applyFont="1" applyBorder="1">
      <alignment vertical="center"/>
    </xf>
    <xf numFmtId="179" fontId="39" fillId="0" borderId="10" xfId="26" applyNumberFormat="1" applyFont="1" applyBorder="1">
      <alignment vertical="center"/>
    </xf>
    <xf numFmtId="182" fontId="39" fillId="0" borderId="10" xfId="26" applyNumberFormat="1" applyFont="1" applyBorder="1">
      <alignment vertical="center"/>
    </xf>
    <xf numFmtId="0" fontId="39" fillId="0" borderId="10" xfId="26" applyFont="1" applyBorder="1" applyAlignment="1">
      <alignment horizontal="center" vertical="center"/>
    </xf>
    <xf numFmtId="41" fontId="39" fillId="0" borderId="10" xfId="26" applyNumberFormat="1" applyFont="1" applyBorder="1">
      <alignment vertical="center"/>
    </xf>
    <xf numFmtId="227" fontId="33" fillId="0" borderId="13" xfId="27" applyNumberFormat="1" applyFont="1" applyBorder="1" applyAlignment="1">
      <alignment horizontal="right" vertical="center"/>
    </xf>
    <xf numFmtId="198" fontId="33" fillId="0" borderId="0" xfId="0" applyNumberFormat="1" applyFont="1">
      <alignment vertical="center"/>
    </xf>
    <xf numFmtId="49" fontId="39" fillId="0" borderId="0" xfId="0" applyNumberFormat="1" applyFont="1" applyFill="1">
      <alignment vertical="center"/>
    </xf>
    <xf numFmtId="0" fontId="39" fillId="0" borderId="0" xfId="0" applyFont="1" applyAlignment="1">
      <alignment vertical="center"/>
    </xf>
    <xf numFmtId="49" fontId="39" fillId="0" borderId="21" xfId="0" applyNumberFormat="1" applyFont="1" applyFill="1" applyBorder="1">
      <alignment vertical="center"/>
    </xf>
    <xf numFmtId="0" fontId="39" fillId="0" borderId="21" xfId="0" applyFont="1" applyFill="1" applyBorder="1" applyAlignment="1">
      <alignment vertical="center"/>
    </xf>
    <xf numFmtId="227" fontId="39" fillId="0" borderId="28" xfId="0" applyNumberFormat="1" applyFont="1" applyFill="1" applyBorder="1" applyAlignment="1">
      <alignment horizontal="right" vertical="center"/>
    </xf>
    <xf numFmtId="0" fontId="39" fillId="0" borderId="25" xfId="0" applyFont="1" applyFill="1" applyBorder="1" applyAlignment="1">
      <alignment vertical="center"/>
    </xf>
    <xf numFmtId="0" fontId="39" fillId="7" borderId="39" xfId="0" applyFont="1" applyFill="1" applyBorder="1" applyAlignment="1">
      <alignment horizontal="center" vertical="center"/>
    </xf>
    <xf numFmtId="0" fontId="39" fillId="7" borderId="39" xfId="0" applyFont="1" applyFill="1" applyBorder="1">
      <alignment vertical="center"/>
    </xf>
    <xf numFmtId="0" fontId="84" fillId="6" borderId="39" xfId="0" applyFont="1" applyFill="1" applyBorder="1">
      <alignment vertical="center"/>
    </xf>
    <xf numFmtId="178" fontId="65" fillId="22" borderId="31" xfId="24" applyNumberFormat="1" applyFont="1" applyFill="1" applyBorder="1">
      <alignment vertical="center"/>
    </xf>
    <xf numFmtId="49" fontId="39" fillId="0" borderId="0" xfId="24" applyNumberFormat="1" applyFont="1" applyFill="1" applyBorder="1" applyAlignment="1">
      <alignment horizontal="left" vertical="center" wrapText="1" indent="1"/>
    </xf>
    <xf numFmtId="181" fontId="65" fillId="0" borderId="0" xfId="24" applyNumberFormat="1" applyFont="1" applyFill="1" applyBorder="1" applyAlignment="1">
      <alignment horizontal="right" vertical="center" shrinkToFit="1"/>
    </xf>
    <xf numFmtId="184" fontId="65" fillId="0" borderId="0" xfId="24" applyNumberFormat="1" applyFont="1" applyBorder="1" applyAlignment="1">
      <alignment horizontal="right" vertical="center"/>
    </xf>
    <xf numFmtId="41" fontId="65" fillId="0" borderId="31" xfId="24" applyNumberFormat="1" applyFont="1" applyBorder="1">
      <alignment vertical="center"/>
    </xf>
    <xf numFmtId="181" fontId="39" fillId="0" borderId="0" xfId="24" applyNumberFormat="1" applyFont="1" applyBorder="1">
      <alignment vertical="center"/>
    </xf>
    <xf numFmtId="0" fontId="39" fillId="0" borderId="0" xfId="24" applyFont="1" applyFill="1" applyBorder="1" applyAlignment="1">
      <alignment vertical="center"/>
    </xf>
    <xf numFmtId="41" fontId="39" fillId="0" borderId="31" xfId="24" applyNumberFormat="1" applyFont="1" applyFill="1" applyBorder="1">
      <alignment vertical="center"/>
    </xf>
    <xf numFmtId="178" fontId="65" fillId="22" borderId="44" xfId="24" applyNumberFormat="1" applyFont="1" applyFill="1" applyBorder="1">
      <alignment vertical="center"/>
    </xf>
    <xf numFmtId="182" fontId="39" fillId="0" borderId="0" xfId="24" applyNumberFormat="1" applyFont="1" applyBorder="1">
      <alignment vertical="center"/>
    </xf>
    <xf numFmtId="182" fontId="39" fillId="0" borderId="0" xfId="24" applyNumberFormat="1" applyFont="1" applyBorder="1" applyAlignment="1">
      <alignment vertical="center"/>
    </xf>
    <xf numFmtId="41" fontId="39" fillId="0" borderId="0" xfId="24" applyNumberFormat="1" applyFont="1" applyBorder="1">
      <alignment vertical="center"/>
    </xf>
    <xf numFmtId="49" fontId="39" fillId="0" borderId="0" xfId="24" applyNumberFormat="1" applyFont="1" applyFill="1" applyBorder="1" applyAlignment="1">
      <alignment horizontal="left" vertical="center" indent="1"/>
    </xf>
    <xf numFmtId="196" fontId="65" fillId="0" borderId="0" xfId="24" applyNumberFormat="1" applyFont="1" applyBorder="1">
      <alignment vertical="center"/>
    </xf>
    <xf numFmtId="176" fontId="39" fillId="7" borderId="27" xfId="24" applyNumberFormat="1" applyFont="1" applyFill="1" applyBorder="1">
      <alignment vertical="center"/>
    </xf>
    <xf numFmtId="224" fontId="39" fillId="7" borderId="27" xfId="24" applyNumberFormat="1" applyFont="1" applyFill="1" applyBorder="1">
      <alignment vertical="center"/>
    </xf>
    <xf numFmtId="227" fontId="65" fillId="4" borderId="28" xfId="32" applyNumberFormat="1" applyFont="1" applyFill="1" applyBorder="1" applyAlignment="1">
      <alignment horizontal="right" vertical="center"/>
    </xf>
    <xf numFmtId="49" fontId="64" fillId="0" borderId="0" xfId="24" applyNumberFormat="1" applyFont="1" applyFill="1" applyBorder="1" applyAlignment="1">
      <alignment horizontal="left" vertical="center" wrapText="1" indent="1"/>
    </xf>
    <xf numFmtId="41" fontId="64" fillId="0" borderId="0" xfId="25" applyNumberFormat="1" applyFont="1" applyFill="1" applyBorder="1">
      <alignment vertical="center"/>
    </xf>
    <xf numFmtId="0" fontId="64" fillId="0" borderId="0" xfId="24" applyNumberFormat="1" applyFont="1" applyFill="1" applyBorder="1">
      <alignment vertical="center"/>
    </xf>
    <xf numFmtId="181" fontId="64" fillId="0" borderId="0" xfId="24" applyNumberFormat="1" applyFont="1" applyFill="1" applyBorder="1">
      <alignment vertical="center"/>
    </xf>
    <xf numFmtId="182" fontId="64" fillId="0" borderId="0" xfId="24" applyNumberFormat="1" applyFont="1" applyFill="1" applyBorder="1">
      <alignment vertical="center"/>
    </xf>
    <xf numFmtId="182" fontId="64" fillId="0" borderId="0" xfId="24" applyNumberFormat="1" applyFont="1" applyFill="1" applyBorder="1" applyAlignment="1">
      <alignment vertical="center"/>
    </xf>
    <xf numFmtId="0" fontId="64" fillId="0" borderId="0" xfId="24" applyNumberFormat="1" applyFont="1" applyFill="1" applyBorder="1" applyAlignment="1">
      <alignment horizontal="center" vertical="center"/>
    </xf>
    <xf numFmtId="41" fontId="64" fillId="0" borderId="0" xfId="24" applyNumberFormat="1" applyFont="1" applyFill="1" applyBorder="1">
      <alignment vertical="center"/>
    </xf>
    <xf numFmtId="49" fontId="39" fillId="0" borderId="21" xfId="24" applyNumberFormat="1" applyFont="1" applyFill="1" applyBorder="1" applyAlignment="1">
      <alignment horizontal="left" vertical="center" wrapText="1" indent="1"/>
    </xf>
    <xf numFmtId="182" fontId="39" fillId="0" borderId="21" xfId="24" applyNumberFormat="1" applyFont="1" applyBorder="1">
      <alignment vertical="center"/>
    </xf>
    <xf numFmtId="182" fontId="39" fillId="0" borderId="21" xfId="24" applyNumberFormat="1" applyFont="1" applyBorder="1" applyAlignment="1">
      <alignment vertical="center"/>
    </xf>
    <xf numFmtId="0" fontId="39" fillId="0" borderId="21" xfId="24" applyFont="1" applyBorder="1" applyAlignment="1">
      <alignment horizontal="center" vertical="center"/>
    </xf>
    <xf numFmtId="41" fontId="39" fillId="0" borderId="21" xfId="24" applyNumberFormat="1" applyFont="1" applyBorder="1">
      <alignment vertical="center"/>
    </xf>
    <xf numFmtId="176" fontId="39" fillId="7" borderId="39" xfId="25" applyNumberFormat="1" applyFont="1" applyFill="1" applyBorder="1" applyAlignment="1">
      <alignment horizontal="right" vertical="center"/>
    </xf>
    <xf numFmtId="224" fontId="39" fillId="7" borderId="27" xfId="25" applyNumberFormat="1" applyFont="1" applyFill="1" applyBorder="1" applyAlignment="1">
      <alignment horizontal="right" vertical="center"/>
    </xf>
    <xf numFmtId="227" fontId="39" fillId="7" borderId="28" xfId="32" applyNumberFormat="1" applyFont="1" applyFill="1" applyBorder="1" applyAlignment="1">
      <alignment horizontal="right" vertical="center"/>
    </xf>
    <xf numFmtId="0" fontId="96" fillId="3" borderId="25" xfId="3" applyNumberFormat="1" applyFont="1" applyFill="1" applyBorder="1">
      <alignment vertical="center"/>
    </xf>
    <xf numFmtId="0" fontId="39" fillId="0" borderId="27" xfId="0" applyFont="1" applyFill="1" applyBorder="1">
      <alignment vertical="center"/>
    </xf>
    <xf numFmtId="181" fontId="65" fillId="0" borderId="0" xfId="0" applyNumberFormat="1" applyFont="1" applyFill="1" applyBorder="1">
      <alignment vertical="center"/>
    </xf>
    <xf numFmtId="187" fontId="65" fillId="0" borderId="0" xfId="0" applyNumberFormat="1" applyFont="1" applyFill="1" applyBorder="1">
      <alignment vertical="center"/>
    </xf>
    <xf numFmtId="182" fontId="65" fillId="0" borderId="0" xfId="0" applyNumberFormat="1" applyFont="1" applyFill="1" applyBorder="1" applyAlignment="1">
      <alignment vertical="center"/>
    </xf>
    <xf numFmtId="227" fontId="39" fillId="0" borderId="30" xfId="0" applyNumberFormat="1" applyFont="1" applyFill="1" applyBorder="1" applyAlignment="1">
      <alignment horizontal="right" vertical="center"/>
    </xf>
    <xf numFmtId="227" fontId="66" fillId="6" borderId="28" xfId="29" applyNumberFormat="1" applyFont="1" applyFill="1" applyBorder="1" applyAlignment="1">
      <alignment horizontal="right" vertical="center"/>
    </xf>
    <xf numFmtId="182" fontId="65" fillId="0" borderId="10" xfId="24" applyNumberFormat="1" applyFont="1" applyBorder="1" applyAlignment="1">
      <alignment vertical="center"/>
    </xf>
    <xf numFmtId="224" fontId="39" fillId="0" borderId="0" xfId="1" applyNumberFormat="1" applyFont="1" applyAlignment="1">
      <alignment horizontal="right" vertical="center"/>
    </xf>
    <xf numFmtId="227" fontId="39" fillId="0" borderId="0" xfId="0" applyNumberFormat="1" applyFont="1" applyAlignment="1">
      <alignment horizontal="right" vertical="center"/>
    </xf>
    <xf numFmtId="3" fontId="33" fillId="0" borderId="0" xfId="0" applyNumberFormat="1" applyFont="1">
      <alignment vertical="center"/>
    </xf>
    <xf numFmtId="183" fontId="65" fillId="0" borderId="0" xfId="24" applyNumberFormat="1" applyFont="1" applyFill="1" applyBorder="1">
      <alignment vertical="center"/>
    </xf>
    <xf numFmtId="49" fontId="33" fillId="0" borderId="0" xfId="24" applyNumberFormat="1" applyFont="1" applyFill="1" applyBorder="1" applyAlignment="1">
      <alignment horizontal="left" vertical="center" wrapText="1" indent="1"/>
    </xf>
    <xf numFmtId="41" fontId="33" fillId="0" borderId="0" xfId="25" applyFont="1" applyFill="1" applyBorder="1" applyAlignment="1">
      <alignment vertical="center" wrapText="1"/>
    </xf>
    <xf numFmtId="0" fontId="33" fillId="0" borderId="0" xfId="24" applyFont="1" applyFill="1" applyBorder="1">
      <alignment vertical="center"/>
    </xf>
    <xf numFmtId="182" fontId="33" fillId="0" borderId="0" xfId="24" applyNumberFormat="1" applyFont="1" applyFill="1" applyBorder="1">
      <alignment vertical="center"/>
    </xf>
    <xf numFmtId="182" fontId="33" fillId="0" borderId="0" xfId="24" applyNumberFormat="1" applyFont="1" applyFill="1" applyBorder="1" applyAlignment="1">
      <alignment vertical="center"/>
    </xf>
    <xf numFmtId="0" fontId="33" fillId="0" borderId="0" xfId="24" applyFont="1" applyFill="1" applyBorder="1" applyAlignment="1">
      <alignment horizontal="center" vertical="center"/>
    </xf>
    <xf numFmtId="41" fontId="33" fillId="0" borderId="0" xfId="24" applyNumberFormat="1" applyFont="1" applyFill="1" applyBorder="1">
      <alignment vertical="center"/>
    </xf>
    <xf numFmtId="49" fontId="33" fillId="0" borderId="0" xfId="24" applyNumberFormat="1" applyFont="1" applyFill="1" applyBorder="1" applyAlignment="1">
      <alignment horizontal="left" vertical="center" indent="1"/>
    </xf>
    <xf numFmtId="41" fontId="33" fillId="0" borderId="0" xfId="25" applyFont="1" applyBorder="1" applyAlignment="1">
      <alignment vertical="center" wrapText="1"/>
    </xf>
    <xf numFmtId="0" fontId="33" fillId="0" borderId="0" xfId="24" applyFont="1" applyBorder="1">
      <alignment vertical="center"/>
    </xf>
    <xf numFmtId="187" fontId="33" fillId="0" borderId="0" xfId="24" applyNumberFormat="1" applyFont="1" applyBorder="1">
      <alignment vertical="center"/>
    </xf>
    <xf numFmtId="182" fontId="33" fillId="0" borderId="0" xfId="24" applyNumberFormat="1" applyFont="1" applyBorder="1">
      <alignment vertical="center"/>
    </xf>
    <xf numFmtId="182" fontId="33" fillId="0" borderId="0" xfId="24" applyNumberFormat="1" applyFont="1" applyBorder="1" applyAlignment="1">
      <alignment vertical="center"/>
    </xf>
    <xf numFmtId="0" fontId="33" fillId="0" borderId="0" xfId="24" applyFont="1" applyBorder="1" applyAlignment="1">
      <alignment horizontal="center" vertical="center"/>
    </xf>
    <xf numFmtId="41" fontId="33" fillId="0" borderId="0" xfId="24" applyNumberFormat="1" applyFont="1" applyBorder="1">
      <alignment vertical="center"/>
    </xf>
    <xf numFmtId="41" fontId="33" fillId="0" borderId="0" xfId="25" applyFont="1" applyBorder="1">
      <alignment vertical="center"/>
    </xf>
    <xf numFmtId="187" fontId="65" fillId="0" borderId="0" xfId="24" applyNumberFormat="1" applyFont="1" applyFill="1" applyBorder="1">
      <alignment vertical="center"/>
    </xf>
    <xf numFmtId="181" fontId="33" fillId="0" borderId="0" xfId="24" applyNumberFormat="1" applyFont="1" applyBorder="1">
      <alignment vertical="center"/>
    </xf>
    <xf numFmtId="195" fontId="33" fillId="0" borderId="0" xfId="24" applyNumberFormat="1" applyFont="1" applyBorder="1">
      <alignment vertical="center"/>
    </xf>
    <xf numFmtId="181" fontId="33" fillId="0" borderId="0" xfId="24" applyNumberFormat="1" applyFont="1" applyFill="1" applyBorder="1">
      <alignment vertical="center"/>
    </xf>
    <xf numFmtId="187" fontId="33" fillId="0" borderId="0" xfId="24" applyNumberFormat="1" applyFont="1" applyFill="1" applyBorder="1">
      <alignment vertical="center"/>
    </xf>
    <xf numFmtId="49" fontId="33" fillId="0" borderId="21" xfId="24" applyNumberFormat="1" applyFont="1" applyFill="1" applyBorder="1" applyAlignment="1">
      <alignment horizontal="left" vertical="center" indent="1"/>
    </xf>
    <xf numFmtId="41" fontId="33" fillId="0" borderId="21" xfId="25" applyFont="1" applyBorder="1">
      <alignment vertical="center"/>
    </xf>
    <xf numFmtId="0" fontId="33" fillId="0" borderId="21" xfId="24" applyFont="1" applyBorder="1">
      <alignment vertical="center"/>
    </xf>
    <xf numFmtId="181" fontId="33" fillId="0" borderId="21" xfId="24" applyNumberFormat="1" applyFont="1" applyBorder="1">
      <alignment vertical="center"/>
    </xf>
    <xf numFmtId="184" fontId="33" fillId="0" borderId="21" xfId="24" applyNumberFormat="1" applyFont="1" applyBorder="1">
      <alignment vertical="center"/>
    </xf>
    <xf numFmtId="182" fontId="33" fillId="0" borderId="21" xfId="24" applyNumberFormat="1" applyFont="1" applyBorder="1" applyAlignment="1">
      <alignment vertical="center"/>
    </xf>
    <xf numFmtId="182" fontId="33" fillId="0" borderId="21" xfId="24" applyNumberFormat="1" applyFont="1" applyBorder="1">
      <alignment vertical="center"/>
    </xf>
    <xf numFmtId="0" fontId="33" fillId="0" borderId="21" xfId="24" applyFont="1" applyBorder="1" applyAlignment="1">
      <alignment horizontal="center" vertical="center"/>
    </xf>
    <xf numFmtId="41" fontId="33" fillId="0" borderId="21" xfId="24" applyNumberFormat="1" applyFont="1" applyBorder="1">
      <alignment vertical="center"/>
    </xf>
    <xf numFmtId="41" fontId="33" fillId="0" borderId="0" xfId="25" applyFont="1" applyFill="1" applyBorder="1">
      <alignment vertical="center"/>
    </xf>
    <xf numFmtId="180" fontId="33" fillId="0" borderId="0" xfId="24" applyNumberFormat="1" applyFont="1" applyFill="1" applyBorder="1">
      <alignment vertical="center"/>
    </xf>
    <xf numFmtId="190" fontId="33" fillId="0" borderId="0" xfId="24" applyNumberFormat="1" applyFont="1" applyBorder="1">
      <alignment vertical="center"/>
    </xf>
    <xf numFmtId="180" fontId="33" fillId="0" borderId="0" xfId="24" applyNumberFormat="1" applyFont="1" applyBorder="1">
      <alignment vertical="center"/>
    </xf>
    <xf numFmtId="41" fontId="39" fillId="0" borderId="21" xfId="25" applyFont="1" applyFill="1" applyBorder="1">
      <alignment vertical="center"/>
    </xf>
    <xf numFmtId="0" fontId="33" fillId="0" borderId="21" xfId="24" applyFont="1" applyFill="1" applyBorder="1">
      <alignment vertical="center"/>
    </xf>
    <xf numFmtId="182" fontId="33" fillId="0" borderId="21" xfId="24" applyNumberFormat="1" applyFont="1" applyFill="1" applyBorder="1">
      <alignment vertical="center"/>
    </xf>
    <xf numFmtId="182" fontId="33" fillId="0" borderId="21" xfId="24" applyNumberFormat="1" applyFont="1" applyFill="1" applyBorder="1" applyAlignment="1">
      <alignment vertical="center"/>
    </xf>
    <xf numFmtId="0" fontId="33" fillId="0" borderId="21" xfId="24" applyFont="1" applyFill="1" applyBorder="1" applyAlignment="1">
      <alignment horizontal="center" vertical="center"/>
    </xf>
    <xf numFmtId="41" fontId="33" fillId="0" borderId="21" xfId="24" applyNumberFormat="1" applyFont="1" applyFill="1" applyBorder="1">
      <alignment vertical="center"/>
    </xf>
    <xf numFmtId="49" fontId="33" fillId="0" borderId="21" xfId="24" applyNumberFormat="1" applyFont="1" applyFill="1" applyBorder="1" applyAlignment="1">
      <alignment horizontal="left" vertical="center" wrapText="1" indent="1"/>
    </xf>
    <xf numFmtId="41" fontId="39" fillId="0" borderId="21" xfId="25" applyFont="1" applyBorder="1">
      <alignment vertical="center"/>
    </xf>
    <xf numFmtId="176" fontId="95" fillId="0" borderId="24" xfId="25" applyNumberFormat="1" applyFont="1" applyFill="1" applyBorder="1" applyAlignment="1">
      <alignment horizontal="right" vertical="center"/>
    </xf>
    <xf numFmtId="224" fontId="95" fillId="0" borderId="24" xfId="25" applyNumberFormat="1" applyFont="1" applyFill="1" applyBorder="1" applyAlignment="1">
      <alignment horizontal="right" vertical="center"/>
    </xf>
    <xf numFmtId="227" fontId="95" fillId="0" borderId="30" xfId="24" applyNumberFormat="1" applyFont="1" applyFill="1" applyBorder="1" applyAlignment="1">
      <alignment horizontal="right" vertical="center"/>
    </xf>
    <xf numFmtId="176" fontId="95" fillId="0" borderId="24" xfId="25" applyNumberFormat="1" applyFont="1" applyBorder="1" applyAlignment="1">
      <alignment horizontal="right" vertical="center"/>
    </xf>
    <xf numFmtId="224" fontId="95" fillId="0" borderId="24" xfId="25" applyNumberFormat="1" applyFont="1" applyBorder="1" applyAlignment="1">
      <alignment horizontal="right" vertical="center"/>
    </xf>
    <xf numFmtId="227" fontId="95" fillId="0" borderId="30" xfId="24" applyNumberFormat="1" applyFont="1" applyBorder="1" applyAlignment="1">
      <alignment horizontal="right" vertical="center"/>
    </xf>
    <xf numFmtId="49" fontId="65" fillId="0" borderId="21" xfId="24" applyNumberFormat="1" applyFont="1" applyFill="1" applyBorder="1" applyAlignment="1">
      <alignment horizontal="left" vertical="center" indent="1"/>
    </xf>
    <xf numFmtId="187" fontId="33" fillId="0" borderId="21" xfId="24" applyNumberFormat="1" applyFont="1" applyFill="1" applyBorder="1">
      <alignment vertical="center"/>
    </xf>
    <xf numFmtId="9" fontId="33" fillId="0" borderId="0" xfId="24" applyNumberFormat="1" applyFont="1" applyFill="1" applyBorder="1">
      <alignment vertical="center"/>
    </xf>
    <xf numFmtId="177" fontId="33" fillId="0" borderId="0" xfId="24" applyNumberFormat="1" applyFont="1" applyFill="1" applyBorder="1">
      <alignment vertical="center"/>
    </xf>
    <xf numFmtId="176" fontId="65" fillId="0" borderId="31" xfId="25" applyNumberFormat="1" applyFont="1" applyBorder="1" applyAlignment="1">
      <alignment horizontal="right" vertical="center"/>
    </xf>
    <xf numFmtId="176" fontId="65" fillId="4" borderId="39" xfId="25" applyNumberFormat="1" applyFont="1" applyFill="1" applyBorder="1" applyAlignment="1">
      <alignment horizontal="right" vertical="center"/>
    </xf>
    <xf numFmtId="41" fontId="65" fillId="0" borderId="0" xfId="24" applyNumberFormat="1" applyFont="1">
      <alignment vertical="center"/>
    </xf>
    <xf numFmtId="0" fontId="39" fillId="0" borderId="0" xfId="24" applyFont="1" applyBorder="1" applyAlignment="1">
      <alignment horizontal="left" vertical="center" wrapText="1" indent="1"/>
    </xf>
    <xf numFmtId="176" fontId="39" fillId="0" borderId="24" xfId="25" applyNumberFormat="1" applyFont="1" applyBorder="1" applyAlignment="1">
      <alignment horizontal="right" vertical="center"/>
    </xf>
    <xf numFmtId="176" fontId="39" fillId="0" borderId="31" xfId="25" applyNumberFormat="1" applyFont="1" applyBorder="1" applyAlignment="1">
      <alignment horizontal="right" vertical="center"/>
    </xf>
    <xf numFmtId="224" fontId="39" fillId="0" borderId="24" xfId="25" applyNumberFormat="1" applyFont="1" applyBorder="1" applyAlignment="1">
      <alignment horizontal="right" vertical="center"/>
    </xf>
    <xf numFmtId="227" fontId="39" fillId="0" borderId="30" xfId="24" applyNumberFormat="1" applyFont="1" applyBorder="1" applyAlignment="1">
      <alignment horizontal="right" vertical="center"/>
    </xf>
    <xf numFmtId="0" fontId="39" fillId="0" borderId="10" xfId="24" applyFont="1" applyBorder="1" applyAlignment="1">
      <alignment horizontal="left" vertical="center" wrapText="1" indent="1"/>
    </xf>
    <xf numFmtId="41" fontId="39" fillId="0" borderId="10" xfId="25" applyFont="1" applyBorder="1" applyAlignment="1">
      <alignment vertical="center" wrapText="1"/>
    </xf>
    <xf numFmtId="0" fontId="39" fillId="0" borderId="10" xfId="24" applyFont="1" applyBorder="1">
      <alignment vertical="center"/>
    </xf>
    <xf numFmtId="179" fontId="39" fillId="0" borderId="10" xfId="24" applyNumberFormat="1" applyFont="1" applyBorder="1">
      <alignment vertical="center"/>
    </xf>
    <xf numFmtId="182" fontId="39" fillId="0" borderId="10" xfId="24" applyNumberFormat="1" applyFont="1" applyBorder="1">
      <alignment vertical="center"/>
    </xf>
    <xf numFmtId="0" fontId="39" fillId="0" borderId="10" xfId="24" applyFont="1" applyBorder="1" applyAlignment="1">
      <alignment horizontal="center" vertical="center"/>
    </xf>
    <xf numFmtId="41" fontId="39" fillId="0" borderId="10" xfId="24" applyNumberFormat="1" applyFont="1" applyBorder="1">
      <alignment vertical="center"/>
    </xf>
    <xf numFmtId="176" fontId="39" fillId="0" borderId="12" xfId="25" applyNumberFormat="1" applyFont="1" applyBorder="1" applyAlignment="1">
      <alignment horizontal="right" vertical="center"/>
    </xf>
    <xf numFmtId="176" fontId="39" fillId="0" borderId="11" xfId="25" applyNumberFormat="1" applyFont="1" applyBorder="1" applyAlignment="1">
      <alignment horizontal="right" vertical="center"/>
    </xf>
    <xf numFmtId="224" fontId="39" fillId="0" borderId="12" xfId="25" applyNumberFormat="1" applyFont="1" applyBorder="1" applyAlignment="1">
      <alignment horizontal="right" vertical="center"/>
    </xf>
    <xf numFmtId="227" fontId="39" fillId="0" borderId="13" xfId="24" applyNumberFormat="1" applyFont="1" applyBorder="1" applyAlignment="1">
      <alignment horizontal="right" vertical="center"/>
    </xf>
    <xf numFmtId="49" fontId="39" fillId="2" borderId="34" xfId="3" applyNumberFormat="1" applyFont="1" applyFill="1" applyBorder="1" applyAlignment="1">
      <alignment horizontal="center" vertical="center"/>
    </xf>
    <xf numFmtId="0" fontId="39" fillId="2" borderId="7" xfId="3" applyNumberFormat="1" applyFont="1" applyFill="1" applyBorder="1" applyAlignment="1">
      <alignment horizontal="center" vertical="center"/>
    </xf>
    <xf numFmtId="0" fontId="39" fillId="2" borderId="8" xfId="3" applyNumberFormat="1" applyFont="1" applyFill="1" applyBorder="1" applyAlignment="1">
      <alignment horizontal="center" vertical="center"/>
    </xf>
    <xf numFmtId="49" fontId="39" fillId="2" borderId="9" xfId="3" applyNumberFormat="1" applyFont="1" applyFill="1" applyBorder="1" applyAlignment="1">
      <alignment horizontal="center" vertical="center"/>
    </xf>
    <xf numFmtId="182" fontId="39" fillId="0" borderId="0" xfId="0" applyNumberFormat="1" applyFont="1" applyFill="1" applyBorder="1">
      <alignment vertical="center"/>
    </xf>
    <xf numFmtId="0" fontId="39" fillId="0" borderId="0" xfId="0" applyFont="1" applyFill="1" applyBorder="1" applyAlignment="1">
      <alignment horizontal="center" vertical="center"/>
    </xf>
    <xf numFmtId="182" fontId="68" fillId="0" borderId="0" xfId="0" applyNumberFormat="1" applyFont="1" applyFill="1" applyBorder="1">
      <alignment vertical="center"/>
    </xf>
    <xf numFmtId="0" fontId="68" fillId="0" borderId="0" xfId="0" applyNumberFormat="1" applyFont="1" applyFill="1" applyBorder="1" applyAlignment="1">
      <alignment horizontal="center" vertical="center"/>
    </xf>
    <xf numFmtId="183" fontId="39" fillId="0" borderId="0" xfId="0" applyNumberFormat="1" applyFont="1" applyFill="1" applyBorder="1">
      <alignment vertical="center"/>
    </xf>
    <xf numFmtId="0" fontId="39" fillId="22" borderId="0" xfId="0" applyFont="1" applyFill="1" applyBorder="1">
      <alignment vertical="center"/>
    </xf>
    <xf numFmtId="0" fontId="39" fillId="22" borderId="0" xfId="0" applyFont="1" applyFill="1" applyBorder="1" applyAlignment="1">
      <alignment horizontal="center" vertical="center"/>
    </xf>
    <xf numFmtId="178" fontId="39" fillId="22" borderId="0" xfId="0" applyNumberFormat="1" applyFont="1" applyFill="1" applyBorder="1">
      <alignment vertical="center"/>
    </xf>
    <xf numFmtId="176" fontId="65" fillId="22" borderId="0" xfId="24" applyNumberFormat="1" applyFont="1" applyFill="1" applyBorder="1">
      <alignment vertical="center"/>
    </xf>
    <xf numFmtId="227" fontId="39" fillId="7" borderId="38" xfId="2" applyNumberFormat="1" applyFont="1" applyFill="1" applyBorder="1" applyAlignment="1">
      <alignment horizontal="right" vertical="center"/>
    </xf>
    <xf numFmtId="41" fontId="39" fillId="0" borderId="0" xfId="0" applyNumberFormat="1" applyFont="1" applyFill="1" applyBorder="1">
      <alignment vertical="center"/>
    </xf>
    <xf numFmtId="181" fontId="65" fillId="0" borderId="0" xfId="24" applyNumberFormat="1" applyFont="1" applyFill="1" applyBorder="1">
      <alignment vertical="center"/>
    </xf>
    <xf numFmtId="182" fontId="39" fillId="22" borderId="0" xfId="0" applyNumberFormat="1" applyFont="1" applyFill="1" applyBorder="1">
      <alignment vertical="center"/>
    </xf>
    <xf numFmtId="227" fontId="39" fillId="7" borderId="30" xfId="2" applyNumberFormat="1" applyFont="1" applyFill="1" applyBorder="1" applyAlignment="1">
      <alignment horizontal="right" vertical="center"/>
    </xf>
    <xf numFmtId="0" fontId="97" fillId="0" borderId="0" xfId="0" applyFont="1" applyFill="1" applyBorder="1">
      <alignment vertical="center"/>
    </xf>
    <xf numFmtId="0" fontId="97" fillId="22" borderId="0" xfId="0" applyFont="1" applyFill="1" applyBorder="1">
      <alignment vertical="center"/>
    </xf>
    <xf numFmtId="0" fontId="97" fillId="22" borderId="0" xfId="0" applyFont="1" applyFill="1" applyBorder="1" applyAlignment="1">
      <alignment horizontal="center" vertical="center"/>
    </xf>
    <xf numFmtId="176" fontId="39" fillId="22" borderId="24" xfId="1" applyNumberFormat="1" applyFont="1" applyFill="1" applyBorder="1" applyAlignment="1">
      <alignment horizontal="right" vertical="center"/>
    </xf>
    <xf numFmtId="0" fontId="97" fillId="0" borderId="0" xfId="0" applyFont="1" applyFill="1" applyBorder="1" applyAlignment="1">
      <alignment horizontal="center" vertical="center"/>
    </xf>
    <xf numFmtId="184" fontId="65" fillId="0" borderId="0" xfId="24" applyNumberFormat="1" applyFont="1" applyFill="1" applyBorder="1">
      <alignment vertical="center"/>
    </xf>
    <xf numFmtId="182" fontId="97" fillId="0" borderId="0" xfId="0" applyNumberFormat="1" applyFont="1" applyFill="1" applyBorder="1">
      <alignment vertical="center"/>
    </xf>
    <xf numFmtId="182" fontId="97" fillId="22" borderId="0" xfId="0" applyNumberFormat="1" applyFont="1" applyFill="1" applyBorder="1">
      <alignment vertical="center"/>
    </xf>
    <xf numFmtId="0" fontId="68" fillId="22" borderId="0" xfId="0" applyNumberFormat="1" applyFont="1" applyFill="1" applyBorder="1">
      <alignment vertical="center"/>
    </xf>
    <xf numFmtId="0" fontId="68" fillId="22" borderId="0" xfId="0" applyNumberFormat="1" applyFont="1" applyFill="1" applyBorder="1" applyAlignment="1">
      <alignment horizontal="center" vertical="center"/>
    </xf>
    <xf numFmtId="178" fontId="68" fillId="22" borderId="0" xfId="0" applyNumberFormat="1" applyFont="1" applyFill="1" applyBorder="1">
      <alignment vertical="center"/>
    </xf>
    <xf numFmtId="188" fontId="65" fillId="0" borderId="0" xfId="24" applyNumberFormat="1" applyFont="1" applyBorder="1" applyAlignment="1">
      <alignment horizontal="center" vertical="center"/>
    </xf>
    <xf numFmtId="182" fontId="68" fillId="0" borderId="21" xfId="0" applyNumberFormat="1" applyFont="1" applyBorder="1">
      <alignment vertical="center"/>
    </xf>
    <xf numFmtId="0" fontId="68" fillId="0" borderId="21" xfId="0" applyNumberFormat="1" applyFont="1" applyBorder="1" applyAlignment="1">
      <alignment horizontal="center" vertical="center"/>
    </xf>
    <xf numFmtId="41" fontId="68" fillId="0" borderId="21" xfId="0" applyNumberFormat="1" applyFont="1" applyBorder="1">
      <alignment vertical="center"/>
    </xf>
    <xf numFmtId="0" fontId="68" fillId="0" borderId="0" xfId="0" applyNumberFormat="1" applyFont="1" applyBorder="1" applyAlignment="1">
      <alignment horizontal="center" vertical="center"/>
    </xf>
    <xf numFmtId="41" fontId="68" fillId="0" borderId="0" xfId="4" applyNumberFormat="1" applyFont="1" applyBorder="1">
      <alignment vertical="center"/>
    </xf>
    <xf numFmtId="0" fontId="95" fillId="0" borderId="0" xfId="0" applyNumberFormat="1" applyFont="1" applyBorder="1" applyAlignment="1">
      <alignment horizontal="center" vertical="center"/>
    </xf>
    <xf numFmtId="181" fontId="65" fillId="0" borderId="21" xfId="24" applyNumberFormat="1" applyFont="1" applyBorder="1">
      <alignment vertical="center"/>
    </xf>
    <xf numFmtId="0" fontId="65" fillId="0" borderId="40" xfId="24" applyNumberFormat="1" applyFont="1" applyFill="1" applyBorder="1">
      <alignment vertical="center"/>
    </xf>
    <xf numFmtId="193" fontId="55" fillId="0" borderId="0" xfId="24" applyNumberFormat="1" applyFont="1" applyFill="1" applyBorder="1" applyAlignment="1" applyProtection="1">
      <alignment vertical="center"/>
    </xf>
    <xf numFmtId="0" fontId="39" fillId="0" borderId="24" xfId="3" applyNumberFormat="1" applyFont="1" applyFill="1" applyBorder="1">
      <alignment vertical="center"/>
    </xf>
    <xf numFmtId="0" fontId="39" fillId="0" borderId="0" xfId="3" applyNumberFormat="1" applyFont="1" applyFill="1" applyBorder="1">
      <alignment vertical="center"/>
    </xf>
    <xf numFmtId="0" fontId="84" fillId="3" borderId="25" xfId="3" applyNumberFormat="1" applyFont="1" applyFill="1" applyBorder="1">
      <alignment vertical="center"/>
    </xf>
    <xf numFmtId="0" fontId="39" fillId="0" borderId="29" xfId="3" applyNumberFormat="1" applyFont="1" applyFill="1" applyBorder="1">
      <alignment vertical="center"/>
    </xf>
    <xf numFmtId="0" fontId="39" fillId="0" borderId="19" xfId="3" applyNumberFormat="1" applyFont="1" applyBorder="1">
      <alignment vertical="center"/>
    </xf>
    <xf numFmtId="0" fontId="39" fillId="0" borderId="0" xfId="3" applyNumberFormat="1" applyFont="1">
      <alignment vertical="center"/>
    </xf>
    <xf numFmtId="176" fontId="39" fillId="4" borderId="27" xfId="4" applyNumberFormat="1" applyFont="1" applyFill="1" applyBorder="1" applyAlignment="1">
      <alignment horizontal="right" vertical="center"/>
    </xf>
    <xf numFmtId="187" fontId="55" fillId="0" borderId="0" xfId="24" applyNumberFormat="1" applyFont="1" applyFill="1" applyBorder="1">
      <alignment vertical="center"/>
    </xf>
    <xf numFmtId="180" fontId="55" fillId="0" borderId="0" xfId="24" applyNumberFormat="1" applyFont="1" applyFill="1" applyBorder="1">
      <alignment vertical="center"/>
    </xf>
    <xf numFmtId="181" fontId="55" fillId="0" borderId="0" xfId="24" applyNumberFormat="1" applyFont="1" applyFill="1" applyBorder="1">
      <alignment vertical="center"/>
    </xf>
    <xf numFmtId="195" fontId="65" fillId="0" borderId="0" xfId="24" applyNumberFormat="1" applyFont="1" applyBorder="1">
      <alignment vertical="center"/>
    </xf>
    <xf numFmtId="193" fontId="55" fillId="0" borderId="0" xfId="24" applyNumberFormat="1" applyFont="1" applyFill="1" applyBorder="1">
      <alignment vertical="center"/>
    </xf>
    <xf numFmtId="0" fontId="55" fillId="0" borderId="0" xfId="24" applyNumberFormat="1" applyFont="1" applyFill="1" applyBorder="1" applyAlignment="1">
      <alignment vertical="center"/>
    </xf>
    <xf numFmtId="194" fontId="55" fillId="0" borderId="0" xfId="24" applyNumberFormat="1" applyFont="1" applyFill="1" applyBorder="1">
      <alignment vertical="center"/>
    </xf>
    <xf numFmtId="49" fontId="68" fillId="0" borderId="21" xfId="0" applyNumberFormat="1" applyFont="1" applyFill="1" applyBorder="1" applyAlignment="1">
      <alignment horizontal="left" vertical="center" indent="1"/>
    </xf>
    <xf numFmtId="41" fontId="68" fillId="0" borderId="21" xfId="25" applyNumberFormat="1" applyFont="1" applyFill="1" applyBorder="1">
      <alignment vertical="center"/>
    </xf>
    <xf numFmtId="0" fontId="68" fillId="0" borderId="21" xfId="0" applyNumberFormat="1" applyFont="1" applyFill="1" applyBorder="1">
      <alignment vertical="center"/>
    </xf>
    <xf numFmtId="180" fontId="68" fillId="0" borderId="21" xfId="0" applyNumberFormat="1" applyFont="1" applyFill="1" applyBorder="1">
      <alignment vertical="center"/>
    </xf>
    <xf numFmtId="0" fontId="68" fillId="0" borderId="21" xfId="0" applyNumberFormat="1" applyFont="1" applyFill="1" applyBorder="1" applyAlignment="1">
      <alignment horizontal="center" vertical="center"/>
    </xf>
    <xf numFmtId="41" fontId="68" fillId="0" borderId="21" xfId="4" applyNumberFormat="1" applyFont="1" applyFill="1" applyBorder="1">
      <alignment vertical="center"/>
    </xf>
    <xf numFmtId="176" fontId="39" fillId="0" borderId="44" xfId="1" applyNumberFormat="1" applyFont="1" applyBorder="1" applyAlignment="1">
      <alignment horizontal="right" vertical="center"/>
    </xf>
    <xf numFmtId="0" fontId="98" fillId="3" borderId="25" xfId="24" applyNumberFormat="1" applyFont="1" applyFill="1" applyBorder="1">
      <alignment vertical="center"/>
    </xf>
    <xf numFmtId="49" fontId="98" fillId="3" borderId="25" xfId="24" applyNumberFormat="1" applyFont="1" applyFill="1" applyBorder="1">
      <alignment vertical="center"/>
    </xf>
    <xf numFmtId="41" fontId="98" fillId="3" borderId="25" xfId="25" applyNumberFormat="1" applyFont="1" applyFill="1" applyBorder="1">
      <alignment vertical="center"/>
    </xf>
    <xf numFmtId="0" fontId="98" fillId="3" borderId="25" xfId="24" applyNumberFormat="1" applyFont="1" applyFill="1" applyBorder="1" applyAlignment="1">
      <alignment vertical="center"/>
    </xf>
    <xf numFmtId="0" fontId="98" fillId="3" borderId="25" xfId="24" applyNumberFormat="1" applyFont="1" applyFill="1" applyBorder="1" applyAlignment="1">
      <alignment horizontal="center" vertical="center"/>
    </xf>
    <xf numFmtId="224" fontId="98" fillId="3" borderId="27" xfId="25" applyNumberFormat="1" applyFont="1" applyFill="1" applyBorder="1" applyAlignment="1">
      <alignment horizontal="right" vertical="center"/>
    </xf>
    <xf numFmtId="227" fontId="98" fillId="3" borderId="28" xfId="32" applyNumberFormat="1" applyFont="1" applyFill="1" applyBorder="1" applyAlignment="1">
      <alignment horizontal="right" vertical="center"/>
    </xf>
    <xf numFmtId="225" fontId="55" fillId="0" borderId="0" xfId="24" applyNumberFormat="1" applyFont="1" applyFill="1" applyBorder="1">
      <alignment vertical="center"/>
    </xf>
    <xf numFmtId="182" fontId="55" fillId="0" borderId="0" xfId="24" applyNumberFormat="1" applyFont="1" applyFill="1" applyBorder="1">
      <alignment vertical="center"/>
    </xf>
    <xf numFmtId="182" fontId="55" fillId="0" borderId="0" xfId="24" applyNumberFormat="1" applyFont="1" applyFill="1" applyBorder="1" applyAlignment="1">
      <alignment vertical="center"/>
    </xf>
    <xf numFmtId="196" fontId="55" fillId="0" borderId="0" xfId="24" applyNumberFormat="1" applyFont="1" applyFill="1" applyBorder="1">
      <alignment vertical="center"/>
    </xf>
    <xf numFmtId="181" fontId="65" fillId="0" borderId="21" xfId="24" applyNumberFormat="1" applyFont="1" applyFill="1" applyBorder="1">
      <alignment vertical="center"/>
    </xf>
    <xf numFmtId="41" fontId="55" fillId="0" borderId="21" xfId="25" applyNumberFormat="1" applyFont="1" applyFill="1" applyBorder="1">
      <alignment vertical="center"/>
    </xf>
    <xf numFmtId="0" fontId="55" fillId="0" borderId="21" xfId="24" applyNumberFormat="1" applyFont="1" applyFill="1" applyBorder="1">
      <alignment vertical="center"/>
    </xf>
    <xf numFmtId="187" fontId="55" fillId="0" borderId="21" xfId="24" applyNumberFormat="1" applyFont="1" applyFill="1" applyBorder="1">
      <alignment vertical="center"/>
    </xf>
    <xf numFmtId="0" fontId="55" fillId="0" borderId="21" xfId="24" applyNumberFormat="1" applyFont="1" applyFill="1" applyBorder="1" applyAlignment="1">
      <alignment vertical="center"/>
    </xf>
    <xf numFmtId="0" fontId="55" fillId="0" borderId="21" xfId="24" applyNumberFormat="1" applyFont="1" applyFill="1" applyBorder="1" applyAlignment="1">
      <alignment horizontal="center" vertical="center"/>
    </xf>
    <xf numFmtId="41" fontId="65" fillId="0" borderId="10" xfId="25" applyNumberFormat="1" applyFont="1" applyFill="1" applyBorder="1" applyAlignment="1">
      <alignment vertical="center" wrapText="1"/>
    </xf>
    <xf numFmtId="180" fontId="65" fillId="0" borderId="10" xfId="24" applyNumberFormat="1" applyFont="1" applyFill="1" applyBorder="1">
      <alignment vertical="center"/>
    </xf>
    <xf numFmtId="182" fontId="65" fillId="0" borderId="10" xfId="24" applyNumberFormat="1" applyFont="1" applyFill="1" applyBorder="1">
      <alignment vertical="center"/>
    </xf>
    <xf numFmtId="182" fontId="65" fillId="0" borderId="10" xfId="24" applyNumberFormat="1" applyFont="1" applyFill="1" applyBorder="1" applyAlignment="1">
      <alignment vertical="center"/>
    </xf>
    <xf numFmtId="0" fontId="65" fillId="0" borderId="10" xfId="24" applyNumberFormat="1" applyFont="1" applyFill="1" applyBorder="1" applyAlignment="1">
      <alignment horizontal="center" vertical="center"/>
    </xf>
    <xf numFmtId="41" fontId="65" fillId="0" borderId="10" xfId="24" applyNumberFormat="1" applyFont="1" applyFill="1" applyBorder="1">
      <alignment vertical="center"/>
    </xf>
    <xf numFmtId="0" fontId="33" fillId="0" borderId="0" xfId="0" applyNumberFormat="1" applyFont="1">
      <alignment vertical="center"/>
    </xf>
    <xf numFmtId="0" fontId="84" fillId="6" borderId="32" xfId="0" applyFont="1" applyFill="1" applyBorder="1">
      <alignment vertical="center"/>
    </xf>
    <xf numFmtId="41" fontId="84" fillId="6" borderId="10" xfId="1" applyFont="1" applyFill="1" applyBorder="1">
      <alignment vertical="center"/>
    </xf>
    <xf numFmtId="0" fontId="84" fillId="6" borderId="10" xfId="0" applyFont="1" applyFill="1" applyBorder="1">
      <alignment vertical="center"/>
    </xf>
    <xf numFmtId="0" fontId="84" fillId="6" borderId="10" xfId="0" applyNumberFormat="1" applyFont="1" applyFill="1" applyBorder="1">
      <alignment vertical="center"/>
    </xf>
    <xf numFmtId="0" fontId="84" fillId="6" borderId="10" xfId="0" applyFont="1" applyFill="1" applyBorder="1" applyAlignment="1">
      <alignment horizontal="center" vertical="center"/>
    </xf>
    <xf numFmtId="176" fontId="84" fillId="6" borderId="12" xfId="1" applyNumberFormat="1" applyFont="1" applyFill="1" applyBorder="1" applyAlignment="1">
      <alignment horizontal="right" vertical="center"/>
    </xf>
    <xf numFmtId="0" fontId="33" fillId="0" borderId="21" xfId="0" applyNumberFormat="1" applyFont="1" applyFill="1" applyBorder="1">
      <alignment vertical="center"/>
    </xf>
    <xf numFmtId="224" fontId="33" fillId="0" borderId="22" xfId="1" applyNumberFormat="1" applyFont="1" applyFill="1" applyBorder="1" applyAlignment="1">
      <alignment horizontal="right" vertical="center"/>
    </xf>
    <xf numFmtId="227" fontId="33" fillId="0" borderId="23" xfId="0" applyNumberFormat="1" applyFont="1" applyFill="1" applyBorder="1" applyAlignment="1">
      <alignment horizontal="right" vertical="center"/>
    </xf>
    <xf numFmtId="0" fontId="33" fillId="0" borderId="25" xfId="0" applyNumberFormat="1" applyFont="1" applyFill="1" applyBorder="1">
      <alignment vertical="center"/>
    </xf>
    <xf numFmtId="227" fontId="33" fillId="0" borderId="28" xfId="0" applyNumberFormat="1" applyFont="1" applyFill="1" applyBorder="1" applyAlignment="1">
      <alignment horizontal="right" vertical="center"/>
    </xf>
    <xf numFmtId="0" fontId="84" fillId="6" borderId="25" xfId="0" applyNumberFormat="1" applyFont="1" applyFill="1" applyBorder="1">
      <alignment vertical="center"/>
    </xf>
    <xf numFmtId="178" fontId="39" fillId="22" borderId="0" xfId="26" applyNumberFormat="1" applyFont="1" applyFill="1" applyBorder="1">
      <alignment vertical="center"/>
    </xf>
    <xf numFmtId="176" fontId="39" fillId="22" borderId="31" xfId="27" applyNumberFormat="1" applyFont="1" applyFill="1" applyBorder="1" applyAlignment="1">
      <alignment horizontal="right" vertical="center"/>
    </xf>
    <xf numFmtId="183" fontId="39" fillId="0" borderId="0" xfId="26" applyNumberFormat="1" applyFont="1" applyFill="1" applyBorder="1">
      <alignment vertical="center"/>
    </xf>
    <xf numFmtId="176" fontId="39" fillId="0" borderId="31" xfId="27" applyNumberFormat="1" applyFont="1" applyFill="1" applyBorder="1" applyAlignment="1">
      <alignment horizontal="right" vertical="center"/>
    </xf>
    <xf numFmtId="227" fontId="39" fillId="0" borderId="30" xfId="26" applyNumberFormat="1" applyFont="1" applyFill="1" applyBorder="1" applyAlignment="1">
      <alignment horizontal="right" vertical="center"/>
    </xf>
    <xf numFmtId="0" fontId="33" fillId="0" borderId="0" xfId="0" applyNumberFormat="1" applyFont="1" applyBorder="1">
      <alignment vertical="center"/>
    </xf>
    <xf numFmtId="0" fontId="33" fillId="0" borderId="0" xfId="0" applyFont="1" applyBorder="1" applyAlignment="1">
      <alignment vertical="center"/>
    </xf>
    <xf numFmtId="227" fontId="84" fillId="6" borderId="28" xfId="2" applyNumberFormat="1" applyFont="1" applyFill="1" applyBorder="1" applyAlignment="1">
      <alignment horizontal="right" vertical="center"/>
    </xf>
    <xf numFmtId="176" fontId="39" fillId="0" borderId="31" xfId="27" applyNumberFormat="1" applyFont="1" applyBorder="1" applyAlignment="1">
      <alignment horizontal="right" vertical="center"/>
    </xf>
    <xf numFmtId="227" fontId="39" fillId="0" borderId="30" xfId="26" applyNumberFormat="1" applyFont="1" applyBorder="1" applyAlignment="1">
      <alignment horizontal="right" vertical="center"/>
    </xf>
    <xf numFmtId="3" fontId="39" fillId="0" borderId="0" xfId="26" applyNumberFormat="1" applyFont="1" applyFill="1" applyBorder="1">
      <alignment vertical="center"/>
    </xf>
    <xf numFmtId="199" fontId="39" fillId="0" borderId="0" xfId="26" applyNumberFormat="1" applyFont="1" applyBorder="1">
      <alignment vertical="center"/>
    </xf>
    <xf numFmtId="200" fontId="39" fillId="0" borderId="0" xfId="26" applyNumberFormat="1" applyFont="1" applyFill="1" applyBorder="1">
      <alignment vertical="center"/>
    </xf>
    <xf numFmtId="0" fontId="33" fillId="7" borderId="39" xfId="0" applyFont="1" applyFill="1" applyBorder="1">
      <alignment vertical="center"/>
    </xf>
    <xf numFmtId="41" fontId="55" fillId="0" borderId="0" xfId="26" applyNumberFormat="1" applyFont="1" applyBorder="1">
      <alignment vertical="center"/>
    </xf>
    <xf numFmtId="176" fontId="55" fillId="0" borderId="24" xfId="25" applyNumberFormat="1" applyFont="1" applyBorder="1" applyAlignment="1">
      <alignment horizontal="right" vertical="center"/>
    </xf>
    <xf numFmtId="176" fontId="55" fillId="0" borderId="31" xfId="25" applyNumberFormat="1" applyFont="1" applyBorder="1" applyAlignment="1">
      <alignment horizontal="right" vertical="center"/>
    </xf>
    <xf numFmtId="224" fontId="55" fillId="0" borderId="24" xfId="25" applyNumberFormat="1" applyFont="1" applyBorder="1" applyAlignment="1">
      <alignment horizontal="right" vertical="center"/>
    </xf>
    <xf numFmtId="227" fontId="55" fillId="0" borderId="30" xfId="26" applyNumberFormat="1" applyFont="1" applyBorder="1" applyAlignment="1">
      <alignment horizontal="right" vertical="center"/>
    </xf>
    <xf numFmtId="176" fontId="39" fillId="0" borderId="44" xfId="27" applyNumberFormat="1" applyFont="1" applyFill="1" applyBorder="1" applyAlignment="1">
      <alignment horizontal="right" vertical="center"/>
    </xf>
    <xf numFmtId="227" fontId="39" fillId="0" borderId="23" xfId="26" applyNumberFormat="1" applyFont="1" applyFill="1" applyBorder="1" applyAlignment="1">
      <alignment horizontal="right" vertical="center"/>
    </xf>
    <xf numFmtId="49" fontId="39" fillId="2" borderId="0" xfId="26" applyNumberFormat="1" applyFont="1" applyFill="1" applyBorder="1">
      <alignment vertical="center"/>
    </xf>
    <xf numFmtId="41" fontId="39" fillId="2" borderId="0" xfId="27" applyFont="1" applyFill="1" applyBorder="1">
      <alignment vertical="center"/>
    </xf>
    <xf numFmtId="0" fontId="39" fillId="2" borderId="0" xfId="26" applyFont="1" applyFill="1" applyBorder="1">
      <alignment vertical="center"/>
    </xf>
    <xf numFmtId="0" fontId="39" fillId="2" borderId="0" xfId="26" applyFont="1" applyFill="1" applyBorder="1" applyAlignment="1">
      <alignment vertical="center"/>
    </xf>
    <xf numFmtId="0" fontId="39" fillId="2" borderId="0" xfId="26" applyFont="1" applyFill="1" applyBorder="1" applyAlignment="1">
      <alignment horizontal="center" vertical="center"/>
    </xf>
    <xf numFmtId="178" fontId="39" fillId="2" borderId="0" xfId="26" applyNumberFormat="1" applyFont="1" applyFill="1" applyBorder="1">
      <alignment vertical="center"/>
    </xf>
    <xf numFmtId="176" fontId="39" fillId="2" borderId="24" xfId="27" applyNumberFormat="1" applyFont="1" applyFill="1" applyBorder="1" applyAlignment="1">
      <alignment horizontal="right" vertical="center"/>
    </xf>
    <xf numFmtId="176" fontId="39" fillId="2" borderId="31" xfId="27" applyNumberFormat="1" applyFont="1" applyFill="1" applyBorder="1" applyAlignment="1">
      <alignment horizontal="right" vertical="center"/>
    </xf>
    <xf numFmtId="224" fontId="39" fillId="2" borderId="24" xfId="27" applyNumberFormat="1" applyFont="1" applyFill="1" applyBorder="1" applyAlignment="1">
      <alignment horizontal="right" vertical="center"/>
    </xf>
    <xf numFmtId="227" fontId="39" fillId="2" borderId="30" xfId="26" applyNumberFormat="1" applyFont="1" applyFill="1" applyBorder="1" applyAlignment="1">
      <alignment horizontal="right" vertical="center"/>
    </xf>
    <xf numFmtId="176" fontId="39" fillId="0" borderId="110" xfId="27" applyNumberFormat="1" applyFont="1" applyBorder="1" applyAlignment="1">
      <alignment horizontal="right" vertical="center"/>
    </xf>
    <xf numFmtId="176" fontId="39" fillId="0" borderId="111" xfId="27" applyNumberFormat="1" applyFont="1" applyBorder="1" applyAlignment="1">
      <alignment horizontal="right" vertical="center"/>
    </xf>
    <xf numFmtId="224" fontId="39" fillId="0" borderId="110" xfId="27" applyNumberFormat="1" applyFont="1" applyBorder="1" applyAlignment="1">
      <alignment horizontal="right" vertical="center"/>
    </xf>
    <xf numFmtId="227" fontId="39" fillId="0" borderId="112" xfId="26" applyNumberFormat="1" applyFont="1" applyBorder="1" applyAlignment="1">
      <alignment horizontal="right" vertical="center"/>
    </xf>
    <xf numFmtId="180" fontId="39" fillId="0" borderId="0" xfId="26" applyNumberFormat="1" applyFont="1" applyBorder="1">
      <alignment vertical="center"/>
    </xf>
    <xf numFmtId="227" fontId="39" fillId="8" borderId="113" xfId="28" applyNumberFormat="1" applyFont="1" applyFill="1" applyBorder="1" applyAlignment="1">
      <alignment horizontal="right" vertical="center"/>
    </xf>
    <xf numFmtId="41" fontId="39" fillId="0" borderId="0" xfId="25" applyNumberFormat="1" applyFont="1" applyFill="1" applyBorder="1" applyAlignment="1">
      <alignment vertical="center" wrapText="1"/>
    </xf>
    <xf numFmtId="192" fontId="39" fillId="0" borderId="0" xfId="24" applyNumberFormat="1" applyFont="1" applyFill="1" applyBorder="1" applyAlignment="1" applyProtection="1">
      <alignment vertical="center"/>
    </xf>
    <xf numFmtId="0" fontId="84" fillId="6" borderId="37" xfId="3" applyNumberFormat="1" applyFont="1" applyFill="1" applyBorder="1">
      <alignment vertical="center"/>
    </xf>
    <xf numFmtId="41" fontId="84" fillId="6" borderId="37" xfId="4" applyNumberFormat="1" applyFont="1" applyFill="1" applyBorder="1">
      <alignment vertical="center"/>
    </xf>
    <xf numFmtId="0" fontId="84" fillId="6" borderId="37" xfId="3" applyNumberFormat="1" applyFont="1" applyFill="1" applyBorder="1" applyAlignment="1">
      <alignment vertical="center"/>
    </xf>
    <xf numFmtId="0" fontId="84" fillId="6" borderId="37" xfId="3" applyNumberFormat="1" applyFont="1" applyFill="1" applyBorder="1" applyAlignment="1">
      <alignment horizontal="center" vertical="center"/>
    </xf>
    <xf numFmtId="176" fontId="84" fillId="6" borderId="29" xfId="4" applyNumberFormat="1" applyFont="1" applyFill="1" applyBorder="1" applyAlignment="1">
      <alignment horizontal="right" vertical="center"/>
    </xf>
    <xf numFmtId="224" fontId="84" fillId="6" borderId="29" xfId="4" applyNumberFormat="1" applyFont="1" applyFill="1" applyBorder="1" applyAlignment="1">
      <alignment horizontal="right" vertical="center"/>
    </xf>
    <xf numFmtId="227" fontId="84" fillId="6" borderId="38" xfId="3" applyNumberFormat="1" applyFont="1" applyFill="1" applyBorder="1" applyAlignment="1">
      <alignment horizontal="right" vertical="center"/>
    </xf>
    <xf numFmtId="0" fontId="84" fillId="0" borderId="24" xfId="3" applyNumberFormat="1" applyFont="1" applyFill="1" applyBorder="1">
      <alignment vertical="center"/>
    </xf>
    <xf numFmtId="41" fontId="33" fillId="0" borderId="0" xfId="4" applyNumberFormat="1" applyFont="1" applyFill="1" applyBorder="1">
      <alignment vertical="center"/>
    </xf>
    <xf numFmtId="0" fontId="33" fillId="0" borderId="0" xfId="3" applyNumberFormat="1" applyFont="1" applyFill="1" applyBorder="1">
      <alignment vertical="center"/>
    </xf>
    <xf numFmtId="0" fontId="33" fillId="0" borderId="0" xfId="3" applyNumberFormat="1" applyFont="1" applyFill="1" applyBorder="1" applyAlignment="1">
      <alignment vertical="center"/>
    </xf>
    <xf numFmtId="0" fontId="33" fillId="0" borderId="0" xfId="3" applyNumberFormat="1" applyFont="1" applyFill="1" applyBorder="1" applyAlignment="1">
      <alignment horizontal="center" vertical="center"/>
    </xf>
    <xf numFmtId="176" fontId="84" fillId="0" borderId="24" xfId="4" applyNumberFormat="1" applyFont="1" applyFill="1" applyBorder="1" applyAlignment="1">
      <alignment horizontal="right" vertical="center"/>
    </xf>
    <xf numFmtId="224" fontId="84" fillId="0" borderId="24" xfId="4" applyNumberFormat="1" applyFont="1" applyFill="1" applyBorder="1" applyAlignment="1">
      <alignment horizontal="right" vertical="center"/>
    </xf>
    <xf numFmtId="227" fontId="84" fillId="0" borderId="30" xfId="3" applyNumberFormat="1" applyFont="1" applyFill="1" applyBorder="1" applyAlignment="1">
      <alignment horizontal="right" vertical="center"/>
    </xf>
    <xf numFmtId="192" fontId="33" fillId="0" borderId="0" xfId="3" applyNumberFormat="1" applyFont="1" applyFill="1" applyBorder="1">
      <alignment vertical="center"/>
    </xf>
    <xf numFmtId="3" fontId="33" fillId="0" borderId="0" xfId="0" applyNumberFormat="1" applyFont="1" applyFill="1" applyBorder="1">
      <alignment vertical="center"/>
    </xf>
    <xf numFmtId="49" fontId="33" fillId="0" borderId="0" xfId="0" applyNumberFormat="1" applyFont="1" applyFill="1" applyBorder="1" applyAlignment="1">
      <alignment horizontal="left" vertical="center" indent="1"/>
    </xf>
    <xf numFmtId="41" fontId="33" fillId="0" borderId="0" xfId="3" applyNumberFormat="1" applyFont="1" applyFill="1" applyBorder="1">
      <alignment vertical="center"/>
    </xf>
    <xf numFmtId="0" fontId="64" fillId="0" borderId="36" xfId="3" applyNumberFormat="1" applyFont="1" applyFill="1" applyBorder="1">
      <alignment vertical="center"/>
    </xf>
    <xf numFmtId="0" fontId="84" fillId="6" borderId="45" xfId="0" applyFont="1" applyFill="1" applyBorder="1">
      <alignment vertical="center"/>
    </xf>
    <xf numFmtId="0" fontId="84" fillId="6" borderId="46" xfId="0" applyFont="1" applyFill="1" applyBorder="1">
      <alignment vertical="center"/>
    </xf>
    <xf numFmtId="49" fontId="84" fillId="6" borderId="46" xfId="0" applyNumberFormat="1" applyFont="1" applyFill="1" applyBorder="1">
      <alignment vertical="center"/>
    </xf>
    <xf numFmtId="41" fontId="84" fillId="6" borderId="46" xfId="1" applyFont="1" applyFill="1" applyBorder="1">
      <alignment vertical="center"/>
    </xf>
    <xf numFmtId="0" fontId="84" fillId="6" borderId="46" xfId="0" applyNumberFormat="1" applyFont="1" applyFill="1" applyBorder="1">
      <alignment vertical="center"/>
    </xf>
    <xf numFmtId="0" fontId="84" fillId="6" borderId="46" xfId="0" applyFont="1" applyFill="1" applyBorder="1" applyAlignment="1">
      <alignment vertical="center"/>
    </xf>
    <xf numFmtId="0" fontId="84" fillId="6" borderId="46" xfId="0" applyFont="1" applyFill="1" applyBorder="1" applyAlignment="1">
      <alignment horizontal="center" vertical="center"/>
    </xf>
    <xf numFmtId="3" fontId="84" fillId="6" borderId="46" xfId="0" applyNumberFormat="1" applyFont="1" applyFill="1" applyBorder="1">
      <alignment vertical="center"/>
    </xf>
    <xf numFmtId="176" fontId="84" fillId="6" borderId="47" xfId="1" applyNumberFormat="1" applyFont="1" applyFill="1" applyBorder="1" applyAlignment="1">
      <alignment horizontal="right" vertical="center"/>
    </xf>
    <xf numFmtId="224" fontId="84" fillId="6" borderId="47" xfId="1" applyNumberFormat="1" applyFont="1" applyFill="1" applyBorder="1" applyAlignment="1">
      <alignment horizontal="right" vertical="center"/>
    </xf>
    <xf numFmtId="227" fontId="84" fillId="6" borderId="48" xfId="0" applyNumberFormat="1" applyFont="1" applyFill="1" applyBorder="1" applyAlignment="1">
      <alignment horizontal="right" vertical="center"/>
    </xf>
    <xf numFmtId="176" fontId="39" fillId="0" borderId="12" xfId="27" applyNumberFormat="1" applyFont="1" applyBorder="1" applyAlignment="1">
      <alignment horizontal="right" vertical="center"/>
    </xf>
    <xf numFmtId="176" fontId="39" fillId="0" borderId="11" xfId="27" applyNumberFormat="1" applyFont="1" applyBorder="1" applyAlignment="1">
      <alignment horizontal="right" vertical="center"/>
    </xf>
    <xf numFmtId="224" fontId="39" fillId="0" borderId="12" xfId="27" applyNumberFormat="1" applyFont="1" applyBorder="1" applyAlignment="1">
      <alignment horizontal="right" vertical="center"/>
    </xf>
    <xf numFmtId="227" fontId="39" fillId="0" borderId="13" xfId="26" applyNumberFormat="1" applyFont="1" applyBorder="1" applyAlignment="1">
      <alignment horizontal="right" vertical="center"/>
    </xf>
    <xf numFmtId="0" fontId="39" fillId="0" borderId="21" xfId="0" applyFont="1" applyBorder="1" applyAlignment="1">
      <alignment vertical="center"/>
    </xf>
    <xf numFmtId="176" fontId="55" fillId="22" borderId="24" xfId="25" applyNumberFormat="1" applyFont="1" applyFill="1" applyBorder="1" applyAlignment="1">
      <alignment horizontal="right" vertical="center"/>
    </xf>
    <xf numFmtId="227" fontId="65" fillId="22" borderId="30" xfId="29" applyNumberFormat="1" applyFont="1" applyFill="1" applyBorder="1" applyAlignment="1">
      <alignment horizontal="right" vertical="center"/>
    </xf>
    <xf numFmtId="184" fontId="39" fillId="0" borderId="0" xfId="24" applyNumberFormat="1" applyFont="1" applyBorder="1">
      <alignment vertical="center"/>
    </xf>
    <xf numFmtId="41" fontId="39" fillId="0" borderId="0" xfId="1" applyFont="1" applyBorder="1">
      <alignment vertical="center"/>
    </xf>
    <xf numFmtId="182" fontId="39" fillId="0" borderId="0" xfId="0" applyNumberFormat="1" applyFont="1" applyBorder="1" applyAlignment="1">
      <alignment vertical="center"/>
    </xf>
    <xf numFmtId="0" fontId="65" fillId="0" borderId="0" xfId="24" applyNumberFormat="1" applyFont="1" applyBorder="1">
      <alignment vertical="center"/>
    </xf>
    <xf numFmtId="0" fontId="65" fillId="0" borderId="0" xfId="24" applyNumberFormat="1" applyFont="1" applyBorder="1" applyAlignment="1">
      <alignment vertical="center"/>
    </xf>
    <xf numFmtId="196" fontId="39" fillId="0" borderId="0" xfId="24" applyNumberFormat="1" applyFont="1" applyFill="1" applyBorder="1">
      <alignment vertical="center"/>
    </xf>
    <xf numFmtId="41" fontId="55" fillId="0" borderId="21" xfId="25" applyNumberFormat="1" applyFont="1" applyFill="1" applyBorder="1" applyAlignment="1">
      <alignment vertical="center" wrapText="1"/>
    </xf>
    <xf numFmtId="176" fontId="55" fillId="0" borderId="22" xfId="25" applyNumberFormat="1" applyFont="1" applyBorder="1" applyAlignment="1">
      <alignment horizontal="right" vertical="center"/>
    </xf>
    <xf numFmtId="196" fontId="65" fillId="0" borderId="21" xfId="24" applyNumberFormat="1" applyFont="1" applyFill="1" applyBorder="1">
      <alignment vertical="center"/>
    </xf>
    <xf numFmtId="0" fontId="39" fillId="0" borderId="21" xfId="24" applyFont="1" applyFill="1" applyBorder="1" applyAlignment="1">
      <alignment horizontal="center" vertical="center"/>
    </xf>
    <xf numFmtId="49" fontId="39" fillId="22" borderId="0" xfId="24" applyNumberFormat="1" applyFont="1" applyFill="1" applyBorder="1">
      <alignment vertical="center"/>
    </xf>
    <xf numFmtId="176" fontId="65" fillId="0" borderId="31" xfId="25" applyNumberFormat="1" applyFont="1" applyFill="1" applyBorder="1" applyAlignment="1">
      <alignment horizontal="right" vertical="center"/>
    </xf>
    <xf numFmtId="224" fontId="39" fillId="4" borderId="27" xfId="4" applyNumberFormat="1" applyFont="1" applyFill="1" applyBorder="1" applyAlignment="1">
      <alignment horizontal="right" vertical="center"/>
    </xf>
    <xf numFmtId="227" fontId="39" fillId="4" borderId="28" xfId="5" applyNumberFormat="1" applyFont="1" applyFill="1" applyBorder="1" applyAlignment="1">
      <alignment horizontal="right" vertical="center"/>
    </xf>
    <xf numFmtId="0" fontId="65" fillId="0" borderId="0" xfId="3" applyNumberFormat="1" applyFont="1" applyFill="1" applyBorder="1" applyAlignment="1">
      <alignment vertical="center"/>
    </xf>
    <xf numFmtId="195" fontId="65" fillId="0" borderId="0" xfId="4" applyNumberFormat="1" applyFont="1" applyFill="1" applyBorder="1">
      <alignment vertical="center"/>
    </xf>
    <xf numFmtId="176" fontId="39" fillId="0" borderId="24" xfId="4" applyNumberFormat="1" applyFont="1" applyFill="1" applyBorder="1" applyAlignment="1">
      <alignment horizontal="right" vertical="center"/>
    </xf>
    <xf numFmtId="224" fontId="39" fillId="0" borderId="24" xfId="4" applyNumberFormat="1" applyFont="1" applyFill="1" applyBorder="1" applyAlignment="1">
      <alignment horizontal="right" vertical="center"/>
    </xf>
    <xf numFmtId="227" fontId="39" fillId="0" borderId="30" xfId="5" applyNumberFormat="1" applyFont="1" applyFill="1" applyBorder="1" applyAlignment="1">
      <alignment horizontal="right" vertical="center"/>
    </xf>
    <xf numFmtId="41" fontId="65" fillId="0" borderId="0" xfId="3" applyNumberFormat="1" applyFont="1" applyFill="1" applyBorder="1">
      <alignment vertical="center"/>
    </xf>
    <xf numFmtId="178" fontId="65" fillId="0" borderId="0" xfId="24" applyNumberFormat="1" applyFont="1" applyBorder="1" applyAlignment="1">
      <alignment horizontal="center" vertical="center"/>
    </xf>
    <xf numFmtId="193" fontId="65" fillId="0" borderId="0" xfId="24" applyNumberFormat="1" applyFont="1" applyFill="1" applyBorder="1">
      <alignment vertical="center"/>
    </xf>
    <xf numFmtId="191" fontId="65" fillId="0" borderId="0" xfId="24" applyNumberFormat="1" applyFont="1" applyFill="1" applyBorder="1">
      <alignment vertical="center"/>
    </xf>
    <xf numFmtId="176" fontId="95" fillId="0" borderId="22" xfId="25" applyNumberFormat="1" applyFont="1" applyBorder="1" applyAlignment="1">
      <alignment horizontal="right" vertical="center"/>
    </xf>
    <xf numFmtId="224" fontId="95" fillId="0" borderId="22" xfId="25" applyNumberFormat="1" applyFont="1" applyBorder="1" applyAlignment="1">
      <alignment horizontal="right" vertical="center"/>
    </xf>
    <xf numFmtId="203" fontId="65" fillId="0" borderId="0" xfId="24" applyNumberFormat="1" applyFont="1" applyFill="1" applyBorder="1">
      <alignment vertical="center"/>
    </xf>
    <xf numFmtId="176" fontId="65" fillId="0" borderId="24" xfId="25" applyNumberFormat="1" applyFont="1" applyBorder="1">
      <alignment vertical="center"/>
    </xf>
    <xf numFmtId="176" fontId="68" fillId="22" borderId="24" xfId="25" applyNumberFormat="1" applyFont="1" applyFill="1" applyBorder="1" applyAlignment="1">
      <alignment horizontal="right" vertical="center"/>
    </xf>
    <xf numFmtId="176" fontId="55" fillId="22" borderId="22" xfId="25" applyNumberFormat="1" applyFont="1" applyFill="1" applyBorder="1" applyAlignment="1">
      <alignment horizontal="right" vertical="center"/>
    </xf>
    <xf numFmtId="176" fontId="68" fillId="22" borderId="22" xfId="25" applyNumberFormat="1" applyFont="1" applyFill="1" applyBorder="1" applyAlignment="1">
      <alignment horizontal="right" vertical="center"/>
    </xf>
    <xf numFmtId="227" fontId="65" fillId="22" borderId="23" xfId="29" applyNumberFormat="1" applyFont="1" applyFill="1" applyBorder="1" applyAlignment="1">
      <alignment horizontal="right" vertical="center"/>
    </xf>
    <xf numFmtId="176" fontId="55" fillId="0" borderId="24" xfId="25" applyNumberFormat="1" applyFont="1" applyFill="1" applyBorder="1" applyAlignment="1">
      <alignment horizontal="right" vertical="center"/>
    </xf>
    <xf numFmtId="176" fontId="95" fillId="22" borderId="24" xfId="25" applyNumberFormat="1" applyFont="1" applyFill="1" applyBorder="1" applyAlignment="1">
      <alignment horizontal="right" vertical="center"/>
    </xf>
    <xf numFmtId="227" fontId="98" fillId="3" borderId="28" xfId="24" applyNumberFormat="1" applyFont="1" applyFill="1" applyBorder="1" applyAlignment="1">
      <alignment horizontal="right" vertical="center"/>
    </xf>
    <xf numFmtId="184" fontId="55" fillId="0" borderId="0" xfId="24" applyNumberFormat="1" applyFont="1" applyFill="1" applyBorder="1">
      <alignment vertical="center"/>
    </xf>
    <xf numFmtId="0" fontId="55" fillId="0" borderId="0" xfId="24" applyNumberFormat="1" applyFont="1" applyBorder="1">
      <alignment vertical="center"/>
    </xf>
    <xf numFmtId="0" fontId="39" fillId="22" borderId="0" xfId="24" applyFont="1" applyFill="1" applyBorder="1" applyAlignment="1">
      <alignment vertical="center"/>
    </xf>
    <xf numFmtId="227" fontId="39" fillId="0" borderId="30" xfId="25" applyNumberFormat="1" applyFont="1" applyBorder="1" applyAlignment="1">
      <alignment horizontal="right" vertical="center"/>
    </xf>
    <xf numFmtId="189" fontId="33" fillId="0" borderId="0" xfId="24" applyNumberFormat="1" applyFont="1" applyFill="1" applyBorder="1">
      <alignment vertical="center"/>
    </xf>
    <xf numFmtId="0" fontId="68" fillId="0" borderId="0" xfId="24" applyNumberFormat="1" applyFont="1" applyFill="1" applyBorder="1" applyAlignment="1">
      <alignment horizontal="center" vertical="center"/>
    </xf>
    <xf numFmtId="41" fontId="68" fillId="0" borderId="0" xfId="24" applyNumberFormat="1" applyFont="1" applyFill="1" applyBorder="1">
      <alignment vertical="center"/>
    </xf>
    <xf numFmtId="0" fontId="39" fillId="0" borderId="21" xfId="24" applyFont="1" applyFill="1" applyBorder="1">
      <alignment vertical="center"/>
    </xf>
    <xf numFmtId="182" fontId="39" fillId="0" borderId="21" xfId="24" applyNumberFormat="1" applyFont="1" applyFill="1" applyBorder="1">
      <alignment vertical="center"/>
    </xf>
    <xf numFmtId="195" fontId="55" fillId="22" borderId="0" xfId="24" applyNumberFormat="1" applyFont="1" applyFill="1" applyBorder="1">
      <alignment vertical="center"/>
    </xf>
    <xf numFmtId="187" fontId="68" fillId="0" borderId="0" xfId="24" applyNumberFormat="1" applyFont="1" applyFill="1" applyBorder="1" applyAlignment="1">
      <alignment horizontal="right" vertical="center"/>
    </xf>
    <xf numFmtId="49" fontId="39" fillId="0" borderId="0" xfId="24" applyNumberFormat="1" applyFont="1" applyFill="1" applyBorder="1">
      <alignment vertical="center"/>
    </xf>
    <xf numFmtId="41" fontId="39" fillId="22" borderId="0" xfId="25" applyFont="1" applyFill="1" applyBorder="1" applyAlignment="1">
      <alignment vertical="center" wrapText="1"/>
    </xf>
    <xf numFmtId="182" fontId="39" fillId="22" borderId="0" xfId="24" applyNumberFormat="1" applyFont="1" applyFill="1" applyBorder="1">
      <alignment vertical="center"/>
    </xf>
    <xf numFmtId="177" fontId="39" fillId="0" borderId="0" xfId="24" applyNumberFormat="1" applyFont="1" applyFill="1" applyBorder="1">
      <alignment vertical="center"/>
    </xf>
    <xf numFmtId="187" fontId="55" fillId="0" borderId="0" xfId="24" applyNumberFormat="1" applyFont="1" applyFill="1" applyBorder="1" applyAlignment="1">
      <alignment horizontal="right" vertical="center"/>
    </xf>
    <xf numFmtId="0" fontId="95" fillId="0" borderId="0" xfId="24" applyNumberFormat="1" applyFont="1" applyBorder="1">
      <alignment vertical="center"/>
    </xf>
    <xf numFmtId="189" fontId="55" fillId="0" borderId="0" xfId="24" applyNumberFormat="1" applyFont="1" applyFill="1" applyBorder="1">
      <alignment vertical="center"/>
    </xf>
    <xf numFmtId="216" fontId="55" fillId="0" borderId="0" xfId="24" applyNumberFormat="1" applyFont="1" applyFill="1" applyBorder="1">
      <alignment vertical="center"/>
    </xf>
    <xf numFmtId="41" fontId="39" fillId="0" borderId="0" xfId="25" applyFont="1" applyFill="1" applyBorder="1" applyAlignment="1">
      <alignment horizontal="center" vertical="center" wrapText="1"/>
    </xf>
    <xf numFmtId="180" fontId="65" fillId="0" borderId="10" xfId="24" applyNumberFormat="1" applyFont="1" applyBorder="1">
      <alignment vertical="center"/>
    </xf>
    <xf numFmtId="49" fontId="64" fillId="0" borderId="0" xfId="3" applyNumberFormat="1" applyFont="1" applyFill="1">
      <alignment vertical="center"/>
    </xf>
    <xf numFmtId="0" fontId="64" fillId="0" borderId="0" xfId="3" applyNumberFormat="1" applyFont="1" applyAlignment="1">
      <alignment vertical="center"/>
    </xf>
    <xf numFmtId="41" fontId="64" fillId="0" borderId="0" xfId="1" applyFont="1" applyAlignment="1">
      <alignment horizontal="center" vertical="center"/>
    </xf>
    <xf numFmtId="0" fontId="96" fillId="3" borderId="32" xfId="3" applyNumberFormat="1" applyFont="1" applyFill="1" applyBorder="1" applyAlignment="1">
      <alignment vertical="center"/>
    </xf>
    <xf numFmtId="0" fontId="96" fillId="3" borderId="10" xfId="3" applyNumberFormat="1" applyFont="1" applyFill="1" applyBorder="1" applyAlignment="1">
      <alignment vertical="center"/>
    </xf>
    <xf numFmtId="49" fontId="96" fillId="3" borderId="10" xfId="3" applyNumberFormat="1" applyFont="1" applyFill="1" applyBorder="1" applyAlignment="1">
      <alignment vertical="center"/>
    </xf>
    <xf numFmtId="0" fontId="96" fillId="3" borderId="16" xfId="3" applyNumberFormat="1" applyFont="1" applyFill="1" applyBorder="1" applyAlignment="1">
      <alignment vertical="center"/>
    </xf>
    <xf numFmtId="41" fontId="64" fillId="0" borderId="0" xfId="3" applyNumberFormat="1" applyFont="1">
      <alignment vertical="center"/>
    </xf>
    <xf numFmtId="176" fontId="64" fillId="0" borderId="0" xfId="3" applyNumberFormat="1" applyFont="1">
      <alignment vertical="center"/>
    </xf>
    <xf numFmtId="49" fontId="64" fillId="0" borderId="21" xfId="3" applyNumberFormat="1" applyFont="1" applyFill="1" applyBorder="1">
      <alignment vertical="center"/>
    </xf>
    <xf numFmtId="0" fontId="64" fillId="0" borderId="21" xfId="3" applyNumberFormat="1" applyFont="1" applyBorder="1" applyAlignment="1">
      <alignment vertical="center"/>
    </xf>
    <xf numFmtId="0" fontId="96" fillId="3" borderId="25" xfId="3" applyNumberFormat="1" applyFont="1" applyFill="1" applyBorder="1" applyAlignment="1">
      <alignment vertical="center"/>
    </xf>
    <xf numFmtId="49" fontId="96" fillId="3" borderId="25" xfId="3" applyNumberFormat="1" applyFont="1" applyFill="1" applyBorder="1">
      <alignment vertical="center"/>
    </xf>
    <xf numFmtId="41" fontId="96" fillId="3" borderId="25" xfId="4" applyNumberFormat="1" applyFont="1" applyFill="1" applyBorder="1">
      <alignment vertical="center"/>
    </xf>
    <xf numFmtId="0" fontId="96" fillId="3" borderId="25" xfId="3" applyNumberFormat="1" applyFont="1" applyFill="1" applyBorder="1" applyAlignment="1">
      <alignment horizontal="center" vertical="center"/>
    </xf>
    <xf numFmtId="176" fontId="96" fillId="3" borderId="27" xfId="4" applyNumberFormat="1" applyFont="1" applyFill="1" applyBorder="1" applyAlignment="1">
      <alignment horizontal="right" vertical="center"/>
    </xf>
    <xf numFmtId="224" fontId="96" fillId="3" borderId="27" xfId="4" applyNumberFormat="1" applyFont="1" applyFill="1" applyBorder="1" applyAlignment="1">
      <alignment horizontal="right" vertical="center"/>
    </xf>
    <xf numFmtId="227" fontId="96" fillId="3" borderId="28" xfId="3" applyNumberFormat="1" applyFont="1" applyFill="1" applyBorder="1" applyAlignment="1">
      <alignment horizontal="right" vertical="center"/>
    </xf>
    <xf numFmtId="49" fontId="64" fillId="22" borderId="0" xfId="24" applyNumberFormat="1" applyFont="1" applyFill="1" applyBorder="1">
      <alignment vertical="center"/>
    </xf>
    <xf numFmtId="41" fontId="64" fillId="22" borderId="0" xfId="25" applyNumberFormat="1" applyFont="1" applyFill="1" applyBorder="1">
      <alignment vertical="center"/>
    </xf>
    <xf numFmtId="0" fontId="64" fillId="22" borderId="0" xfId="24" applyNumberFormat="1" applyFont="1" applyFill="1" applyBorder="1">
      <alignment vertical="center"/>
    </xf>
    <xf numFmtId="0" fontId="64" fillId="22" borderId="0" xfId="24" applyNumberFormat="1" applyFont="1" applyFill="1" applyBorder="1" applyAlignment="1">
      <alignment vertical="center"/>
    </xf>
    <xf numFmtId="0" fontId="64" fillId="22" borderId="0" xfId="24" applyNumberFormat="1" applyFont="1" applyFill="1" applyBorder="1" applyAlignment="1">
      <alignment horizontal="center" vertical="center"/>
    </xf>
    <xf numFmtId="178" fontId="64" fillId="22" borderId="0" xfId="24" applyNumberFormat="1" applyFont="1" applyFill="1" applyBorder="1">
      <alignment vertical="center"/>
    </xf>
    <xf numFmtId="224" fontId="64" fillId="22" borderId="24" xfId="25" applyNumberFormat="1" applyFont="1" applyFill="1" applyBorder="1" applyAlignment="1">
      <alignment horizontal="right" vertical="center"/>
    </xf>
    <xf numFmtId="227" fontId="64" fillId="22" borderId="30" xfId="29" applyNumberFormat="1" applyFont="1" applyFill="1" applyBorder="1" applyAlignment="1">
      <alignment horizontal="right" vertical="center"/>
    </xf>
    <xf numFmtId="49" fontId="33" fillId="0" borderId="0" xfId="30" applyNumberFormat="1" applyFont="1" applyFill="1" applyBorder="1" applyAlignment="1">
      <alignment horizontal="left" vertical="center" wrapText="1" indent="1"/>
    </xf>
    <xf numFmtId="41" fontId="33" fillId="0" borderId="0" xfId="31" applyFont="1" applyFill="1" applyBorder="1" applyAlignment="1">
      <alignment horizontal="right" vertical="center" shrinkToFit="1"/>
    </xf>
    <xf numFmtId="0" fontId="33" fillId="0" borderId="0" xfId="30" applyFont="1" applyFill="1" applyBorder="1">
      <alignment vertical="center"/>
    </xf>
    <xf numFmtId="181" fontId="33" fillId="0" borderId="0" xfId="30" applyNumberFormat="1" applyFont="1" applyFill="1" applyBorder="1">
      <alignment vertical="center"/>
    </xf>
    <xf numFmtId="182" fontId="33" fillId="0" borderId="0" xfId="30" applyNumberFormat="1" applyFont="1" applyFill="1" applyBorder="1">
      <alignment vertical="center"/>
    </xf>
    <xf numFmtId="182" fontId="33" fillId="0" borderId="0" xfId="30" applyNumberFormat="1" applyFont="1" applyFill="1" applyBorder="1" applyAlignment="1">
      <alignment vertical="center"/>
    </xf>
    <xf numFmtId="0" fontId="33" fillId="0" borderId="0" xfId="30" applyFont="1" applyFill="1" applyBorder="1" applyAlignment="1">
      <alignment horizontal="center" vertical="center"/>
    </xf>
    <xf numFmtId="41" fontId="33" fillId="0" borderId="0" xfId="30" applyNumberFormat="1" applyFont="1" applyFill="1" applyBorder="1">
      <alignment vertical="center"/>
    </xf>
    <xf numFmtId="176" fontId="33" fillId="0" borderId="24" xfId="25" applyNumberFormat="1" applyFont="1" applyBorder="1" applyAlignment="1">
      <alignment horizontal="right" vertical="center"/>
    </xf>
    <xf numFmtId="224" fontId="64" fillId="0" borderId="24" xfId="25" applyNumberFormat="1" applyFont="1" applyBorder="1" applyAlignment="1">
      <alignment horizontal="right" vertical="center"/>
    </xf>
    <xf numFmtId="227" fontId="64" fillId="0" borderId="30" xfId="24" applyNumberFormat="1" applyFont="1" applyBorder="1" applyAlignment="1">
      <alignment horizontal="right" vertical="center"/>
    </xf>
    <xf numFmtId="176" fontId="39" fillId="25" borderId="0" xfId="0" applyNumberFormat="1" applyFont="1" applyFill="1">
      <alignment vertical="center"/>
    </xf>
    <xf numFmtId="176" fontId="39" fillId="17" borderId="0" xfId="0" applyNumberFormat="1" applyFont="1" applyFill="1">
      <alignment vertical="center"/>
    </xf>
    <xf numFmtId="49" fontId="33" fillId="22" borderId="0" xfId="30" applyNumberFormat="1" applyFont="1" applyFill="1" applyBorder="1">
      <alignment vertical="center"/>
    </xf>
    <xf numFmtId="41" fontId="33" fillId="22" borderId="0" xfId="31" applyFont="1" applyFill="1" applyBorder="1">
      <alignment vertical="center"/>
    </xf>
    <xf numFmtId="0" fontId="33" fillId="22" borderId="0" xfId="30" applyFont="1" applyFill="1" applyBorder="1">
      <alignment vertical="center"/>
    </xf>
    <xf numFmtId="0" fontId="33" fillId="22" borderId="0" xfId="30" applyFont="1" applyFill="1" applyBorder="1" applyAlignment="1">
      <alignment vertical="center"/>
    </xf>
    <xf numFmtId="0" fontId="33" fillId="22" borderId="0" xfId="30" applyFont="1" applyFill="1" applyBorder="1" applyAlignment="1">
      <alignment horizontal="center" vertical="center"/>
    </xf>
    <xf numFmtId="195" fontId="33" fillId="22" borderId="0" xfId="31" applyNumberFormat="1" applyFont="1" applyFill="1" applyBorder="1">
      <alignment vertical="center"/>
    </xf>
    <xf numFmtId="176" fontId="39" fillId="2" borderId="0" xfId="0" applyNumberFormat="1" applyFont="1" applyFill="1">
      <alignment vertical="center"/>
    </xf>
    <xf numFmtId="41" fontId="33" fillId="0" borderId="0" xfId="31" applyFont="1" applyBorder="1">
      <alignment vertical="center"/>
    </xf>
    <xf numFmtId="0" fontId="33" fillId="0" borderId="0" xfId="30" applyFont="1" applyBorder="1">
      <alignment vertical="center"/>
    </xf>
    <xf numFmtId="181" fontId="33" fillId="0" borderId="0" xfId="30" applyNumberFormat="1" applyFont="1" applyBorder="1">
      <alignment vertical="center"/>
    </xf>
    <xf numFmtId="182" fontId="33" fillId="0" borderId="0" xfId="30" applyNumberFormat="1" applyFont="1" applyBorder="1">
      <alignment vertical="center"/>
    </xf>
    <xf numFmtId="0" fontId="33" fillId="0" borderId="0" xfId="30" applyFont="1" applyBorder="1" applyAlignment="1">
      <alignment horizontal="center" vertical="center"/>
    </xf>
    <xf numFmtId="41" fontId="33" fillId="0" borderId="0" xfId="30" applyNumberFormat="1" applyFont="1" applyBorder="1">
      <alignment vertical="center"/>
    </xf>
    <xf numFmtId="49" fontId="33" fillId="0" borderId="0" xfId="30" applyNumberFormat="1" applyFont="1" applyFill="1" applyBorder="1" applyAlignment="1">
      <alignment horizontal="left" vertical="center" indent="1"/>
    </xf>
    <xf numFmtId="41" fontId="33" fillId="0" borderId="0" xfId="31" applyFont="1" applyBorder="1" applyAlignment="1">
      <alignment vertical="center" wrapText="1"/>
    </xf>
    <xf numFmtId="182" fontId="33" fillId="0" borderId="0" xfId="30" applyNumberFormat="1" applyFont="1" applyBorder="1" applyAlignment="1">
      <alignment vertical="center"/>
    </xf>
    <xf numFmtId="176" fontId="33" fillId="0" borderId="24" xfId="25" applyNumberFormat="1" applyFont="1" applyFill="1" applyBorder="1" applyAlignment="1">
      <alignment horizontal="right" vertical="center"/>
    </xf>
    <xf numFmtId="176" fontId="64" fillId="0" borderId="24" xfId="25" applyNumberFormat="1" applyFont="1" applyFill="1" applyBorder="1" applyAlignment="1">
      <alignment horizontal="right" vertical="center"/>
    </xf>
    <xf numFmtId="224" fontId="64" fillId="0" borderId="24" xfId="25" applyNumberFormat="1" applyFont="1" applyFill="1" applyBorder="1" applyAlignment="1">
      <alignment horizontal="right" vertical="center"/>
    </xf>
    <xf numFmtId="227" fontId="64" fillId="0" borderId="30" xfId="29" applyNumberFormat="1" applyFont="1" applyFill="1" applyBorder="1" applyAlignment="1">
      <alignment horizontal="right" vertical="center"/>
    </xf>
    <xf numFmtId="177" fontId="64" fillId="0" borderId="0" xfId="2" applyNumberFormat="1" applyFont="1">
      <alignment vertical="center"/>
    </xf>
    <xf numFmtId="0" fontId="33" fillId="0" borderId="0" xfId="30" applyFont="1" applyBorder="1" applyAlignment="1">
      <alignment vertical="center"/>
    </xf>
    <xf numFmtId="183" fontId="33" fillId="0" borderId="0" xfId="30" applyNumberFormat="1" applyFont="1" applyBorder="1">
      <alignment vertical="center"/>
    </xf>
    <xf numFmtId="176" fontId="64" fillId="17" borderId="0" xfId="3" applyNumberFormat="1" applyFont="1" applyFill="1">
      <alignment vertical="center"/>
    </xf>
    <xf numFmtId="41" fontId="64" fillId="0" borderId="0" xfId="1" applyFont="1">
      <alignment vertical="center"/>
    </xf>
    <xf numFmtId="41" fontId="33" fillId="22" borderId="0" xfId="31" quotePrefix="1" applyFont="1" applyFill="1" applyBorder="1">
      <alignment vertical="center"/>
    </xf>
    <xf numFmtId="195" fontId="33" fillId="22" borderId="31" xfId="31" applyNumberFormat="1" applyFont="1" applyFill="1" applyBorder="1">
      <alignment vertical="center"/>
    </xf>
    <xf numFmtId="41" fontId="33" fillId="0" borderId="31" xfId="30" applyNumberFormat="1" applyFont="1" applyBorder="1">
      <alignment vertical="center"/>
    </xf>
    <xf numFmtId="184" fontId="33" fillId="0" borderId="0" xfId="30" applyNumberFormat="1" applyFont="1" applyBorder="1">
      <alignment vertical="center"/>
    </xf>
    <xf numFmtId="176" fontId="33" fillId="5" borderId="24" xfId="25" applyNumberFormat="1" applyFont="1" applyFill="1" applyBorder="1" applyAlignment="1">
      <alignment horizontal="right" vertical="center"/>
    </xf>
    <xf numFmtId="176" fontId="64" fillId="5" borderId="24" xfId="25" applyNumberFormat="1" applyFont="1" applyFill="1" applyBorder="1" applyAlignment="1">
      <alignment horizontal="right" vertical="center"/>
    </xf>
    <xf numFmtId="224" fontId="64" fillId="5" borderId="24" xfId="25" applyNumberFormat="1" applyFont="1" applyFill="1" applyBorder="1" applyAlignment="1">
      <alignment horizontal="right" vertical="center"/>
    </xf>
    <xf numFmtId="227" fontId="64" fillId="5" borderId="30" xfId="29" applyNumberFormat="1" applyFont="1" applyFill="1" applyBorder="1" applyAlignment="1">
      <alignment horizontal="right" vertical="center"/>
    </xf>
    <xf numFmtId="41" fontId="33" fillId="0" borderId="0" xfId="31" applyFont="1" applyFill="1" applyBorder="1" applyAlignment="1">
      <alignment vertical="center" wrapText="1"/>
    </xf>
    <xf numFmtId="0" fontId="33" fillId="0" borderId="0" xfId="30" applyFont="1" applyFill="1" applyBorder="1" applyAlignment="1">
      <alignment vertical="center"/>
    </xf>
    <xf numFmtId="183" fontId="33" fillId="0" borderId="0" xfId="30" applyNumberFormat="1" applyFont="1" applyFill="1" applyBorder="1">
      <alignment vertical="center"/>
    </xf>
    <xf numFmtId="227" fontId="64" fillId="22" borderId="30" xfId="2" applyNumberFormat="1" applyFont="1" applyFill="1" applyBorder="1" applyAlignment="1">
      <alignment horizontal="right" vertical="center"/>
    </xf>
    <xf numFmtId="41" fontId="64" fillId="0" borderId="0" xfId="25" applyNumberFormat="1" applyFont="1" applyFill="1" applyBorder="1" applyAlignment="1">
      <alignment vertical="center" wrapText="1"/>
    </xf>
    <xf numFmtId="227" fontId="64" fillId="0" borderId="30" xfId="24" applyNumberFormat="1" applyFont="1" applyFill="1" applyBorder="1" applyAlignment="1">
      <alignment horizontal="right" vertical="center"/>
    </xf>
    <xf numFmtId="227" fontId="96" fillId="3" borderId="28" xfId="5" applyNumberFormat="1" applyFont="1" applyFill="1" applyBorder="1" applyAlignment="1">
      <alignment horizontal="right" vertical="center"/>
    </xf>
    <xf numFmtId="41" fontId="33" fillId="0" borderId="0" xfId="25" applyNumberFormat="1" applyFont="1" applyFill="1" applyBorder="1" applyAlignment="1">
      <alignment vertical="center" wrapText="1"/>
    </xf>
    <xf numFmtId="0" fontId="33" fillId="0" borderId="0" xfId="24" applyNumberFormat="1" applyFont="1" applyFill="1" applyBorder="1">
      <alignment vertical="center"/>
    </xf>
    <xf numFmtId="0" fontId="33" fillId="0" borderId="0" xfId="24" applyNumberFormat="1" applyFont="1" applyFill="1" applyBorder="1" applyAlignment="1">
      <alignment horizontal="center" vertical="center"/>
    </xf>
    <xf numFmtId="227" fontId="64" fillId="0" borderId="30" xfId="2" applyNumberFormat="1" applyFont="1" applyBorder="1" applyAlignment="1">
      <alignment horizontal="right" vertical="center"/>
    </xf>
    <xf numFmtId="187" fontId="64" fillId="0" borderId="0" xfId="24" applyNumberFormat="1" applyFont="1" applyFill="1" applyBorder="1">
      <alignment vertical="center"/>
    </xf>
    <xf numFmtId="49" fontId="64" fillId="0" borderId="0" xfId="24" applyNumberFormat="1" applyFont="1" applyFill="1" applyBorder="1" applyAlignment="1">
      <alignment horizontal="left" vertical="center" indent="1"/>
    </xf>
    <xf numFmtId="181" fontId="64" fillId="0" borderId="0" xfId="24" applyNumberFormat="1" applyFont="1" applyFill="1" applyBorder="1" applyAlignment="1">
      <alignment vertical="center" shrinkToFit="1"/>
    </xf>
    <xf numFmtId="186" fontId="64" fillId="0" borderId="0" xfId="24" applyNumberFormat="1" applyFont="1" applyFill="1" applyBorder="1" applyAlignment="1">
      <alignment vertical="center" shrinkToFit="1"/>
    </xf>
    <xf numFmtId="0" fontId="64" fillId="0" borderId="35" xfId="3" applyNumberFormat="1" applyFont="1" applyBorder="1">
      <alignment vertical="center"/>
    </xf>
    <xf numFmtId="49" fontId="64" fillId="0" borderId="21" xfId="24" applyNumberFormat="1" applyFont="1" applyFill="1" applyBorder="1" applyAlignment="1">
      <alignment horizontal="left" vertical="center" wrapText="1" indent="1"/>
    </xf>
    <xf numFmtId="41" fontId="64" fillId="0" borderId="21" xfId="25" applyNumberFormat="1" applyFont="1" applyFill="1" applyBorder="1" applyAlignment="1">
      <alignment vertical="center" wrapText="1"/>
    </xf>
    <xf numFmtId="0" fontId="64" fillId="0" borderId="21" xfId="24" applyNumberFormat="1" applyFont="1" applyFill="1" applyBorder="1">
      <alignment vertical="center"/>
    </xf>
    <xf numFmtId="182" fontId="64" fillId="0" borderId="21" xfId="24" applyNumberFormat="1" applyFont="1" applyFill="1" applyBorder="1">
      <alignment vertical="center"/>
    </xf>
    <xf numFmtId="182" fontId="64" fillId="0" borderId="21" xfId="24" applyNumberFormat="1" applyFont="1" applyFill="1" applyBorder="1" applyAlignment="1">
      <alignment vertical="center"/>
    </xf>
    <xf numFmtId="0" fontId="64" fillId="0" borderId="21" xfId="24" applyNumberFormat="1" applyFont="1" applyFill="1" applyBorder="1" applyAlignment="1">
      <alignment horizontal="center" vertical="center"/>
    </xf>
    <xf numFmtId="41" fontId="64" fillId="0" borderId="21" xfId="24" applyNumberFormat="1" applyFont="1" applyFill="1" applyBorder="1">
      <alignment vertical="center"/>
    </xf>
    <xf numFmtId="176" fontId="64" fillId="0" borderId="22" xfId="25" applyNumberFormat="1" applyFont="1" applyBorder="1" applyAlignment="1">
      <alignment horizontal="right" vertical="center"/>
    </xf>
    <xf numFmtId="224" fontId="64" fillId="0" borderId="22" xfId="25" applyNumberFormat="1" applyFont="1" applyBorder="1" applyAlignment="1">
      <alignment horizontal="right" vertical="center"/>
    </xf>
    <xf numFmtId="227" fontId="64" fillId="0" borderId="23" xfId="24" applyNumberFormat="1" applyFont="1" applyBorder="1" applyAlignment="1">
      <alignment horizontal="right" vertical="center"/>
    </xf>
    <xf numFmtId="49" fontId="64" fillId="0" borderId="21" xfId="24" applyNumberFormat="1" applyFont="1" applyFill="1" applyBorder="1" applyAlignment="1">
      <alignment horizontal="left" vertical="center" indent="1"/>
    </xf>
    <xf numFmtId="41" fontId="64" fillId="0" borderId="21" xfId="25" applyNumberFormat="1" applyFont="1" applyBorder="1">
      <alignment vertical="center"/>
    </xf>
    <xf numFmtId="0" fontId="64" fillId="0" borderId="21" xfId="24" applyNumberFormat="1" applyFont="1" applyBorder="1">
      <alignment vertical="center"/>
    </xf>
    <xf numFmtId="181" fontId="64" fillId="0" borderId="21" xfId="24" applyNumberFormat="1" applyFont="1" applyBorder="1">
      <alignment vertical="center"/>
    </xf>
    <xf numFmtId="182" fontId="64" fillId="0" borderId="21" xfId="24" applyNumberFormat="1" applyFont="1" applyBorder="1">
      <alignment vertical="center"/>
    </xf>
    <xf numFmtId="182" fontId="64" fillId="0" borderId="21" xfId="24" applyNumberFormat="1" applyFont="1" applyBorder="1" applyAlignment="1">
      <alignment vertical="center"/>
    </xf>
    <xf numFmtId="0" fontId="64" fillId="0" borderId="21" xfId="24" applyNumberFormat="1" applyFont="1" applyBorder="1" applyAlignment="1">
      <alignment horizontal="center" vertical="center"/>
    </xf>
    <xf numFmtId="41" fontId="64" fillId="0" borderId="21" xfId="24" applyNumberFormat="1" applyFont="1" applyBorder="1">
      <alignment vertical="center"/>
    </xf>
    <xf numFmtId="176" fontId="64" fillId="4" borderId="22" xfId="4" applyNumberFormat="1" applyFont="1" applyFill="1" applyBorder="1" applyAlignment="1">
      <alignment horizontal="right" vertical="center"/>
    </xf>
    <xf numFmtId="224" fontId="64" fillId="4" borderId="22" xfId="4" applyNumberFormat="1" applyFont="1" applyFill="1" applyBorder="1" applyAlignment="1">
      <alignment horizontal="right" vertical="center"/>
    </xf>
    <xf numFmtId="227" fontId="64" fillId="4" borderId="23" xfId="5" applyNumberFormat="1" applyFont="1" applyFill="1" applyBorder="1" applyAlignment="1">
      <alignment horizontal="right" vertical="center"/>
    </xf>
    <xf numFmtId="41" fontId="64" fillId="0" borderId="0" xfId="25" applyNumberFormat="1" applyFont="1" applyBorder="1" applyAlignment="1">
      <alignment vertical="center" wrapText="1"/>
    </xf>
    <xf numFmtId="0" fontId="64" fillId="0" borderId="0" xfId="24" applyNumberFormat="1" applyFont="1" applyBorder="1">
      <alignment vertical="center"/>
    </xf>
    <xf numFmtId="187" fontId="64" fillId="0" borderId="0" xfId="24" applyNumberFormat="1" applyFont="1" applyBorder="1" applyAlignment="1">
      <alignment horizontal="right" vertical="center"/>
    </xf>
    <xf numFmtId="0" fontId="64" fillId="0" borderId="0" xfId="24" applyNumberFormat="1" applyFont="1" applyBorder="1" applyAlignment="1">
      <alignment horizontal="right" vertical="center"/>
    </xf>
    <xf numFmtId="182" fontId="64" fillId="0" borderId="0" xfId="24" applyNumberFormat="1" applyFont="1" applyBorder="1">
      <alignment vertical="center"/>
    </xf>
    <xf numFmtId="182" fontId="64" fillId="0" borderId="0" xfId="24" applyNumberFormat="1" applyFont="1" applyBorder="1" applyAlignment="1">
      <alignment vertical="center"/>
    </xf>
    <xf numFmtId="0" fontId="64" fillId="0" borderId="0" xfId="24" applyNumberFormat="1" applyFont="1" applyBorder="1" applyAlignment="1">
      <alignment horizontal="center" vertical="center"/>
    </xf>
    <xf numFmtId="41" fontId="64" fillId="0" borderId="0" xfId="24" applyNumberFormat="1" applyFont="1" applyBorder="1">
      <alignment vertical="center"/>
    </xf>
    <xf numFmtId="0" fontId="64" fillId="22" borderId="0" xfId="24" applyNumberFormat="1" applyFont="1" applyFill="1" applyBorder="1" applyAlignment="1">
      <alignment horizontal="right" vertical="center"/>
    </xf>
    <xf numFmtId="41" fontId="64" fillId="0" borderId="21" xfId="25" applyNumberFormat="1" applyFont="1" applyBorder="1" applyAlignment="1">
      <alignment vertical="center" wrapText="1"/>
    </xf>
    <xf numFmtId="180" fontId="64" fillId="0" borderId="21" xfId="24" applyNumberFormat="1" applyFont="1" applyBorder="1" applyAlignment="1">
      <alignment horizontal="right" vertical="center"/>
    </xf>
    <xf numFmtId="188" fontId="64" fillId="0" borderId="0" xfId="24" applyNumberFormat="1" applyFont="1" applyBorder="1" applyAlignment="1">
      <alignment vertical="center"/>
    </xf>
    <xf numFmtId="43" fontId="64" fillId="0" borderId="0" xfId="3" applyNumberFormat="1" applyFont="1">
      <alignment vertical="center"/>
    </xf>
    <xf numFmtId="187" fontId="64" fillId="0" borderId="0" xfId="24" applyNumberFormat="1" applyFont="1" applyFill="1" applyBorder="1" applyAlignment="1">
      <alignment horizontal="right" vertical="center"/>
    </xf>
    <xf numFmtId="189" fontId="64" fillId="0" borderId="0" xfId="24" applyNumberFormat="1" applyFont="1" applyBorder="1">
      <alignment vertical="center"/>
    </xf>
    <xf numFmtId="187" fontId="64" fillId="0" borderId="0" xfId="24" applyNumberFormat="1" applyFont="1" applyBorder="1">
      <alignment vertical="center"/>
    </xf>
    <xf numFmtId="189" fontId="64" fillId="0" borderId="0" xfId="24" applyNumberFormat="1" applyFont="1" applyFill="1" applyBorder="1" applyAlignment="1" applyProtection="1">
      <alignment vertical="center"/>
    </xf>
    <xf numFmtId="0" fontId="64" fillId="0" borderId="0" xfId="24" applyNumberFormat="1" applyFont="1" applyBorder="1" applyAlignment="1">
      <alignment vertical="center"/>
    </xf>
    <xf numFmtId="3" fontId="64" fillId="0" borderId="0" xfId="24" applyNumberFormat="1" applyFont="1" applyBorder="1">
      <alignment vertical="center"/>
    </xf>
    <xf numFmtId="41" fontId="64" fillId="0" borderId="0" xfId="25" applyNumberFormat="1" applyFont="1" applyBorder="1">
      <alignment vertical="center"/>
    </xf>
    <xf numFmtId="41" fontId="39" fillId="0" borderId="21" xfId="25" applyNumberFormat="1" applyFont="1" applyBorder="1">
      <alignment vertical="center"/>
    </xf>
    <xf numFmtId="0" fontId="39" fillId="0" borderId="21" xfId="24" applyNumberFormat="1" applyFont="1" applyBorder="1">
      <alignment vertical="center"/>
    </xf>
    <xf numFmtId="180" fontId="39" fillId="0" borderId="21" xfId="24" applyNumberFormat="1" applyFont="1" applyBorder="1" applyAlignment="1">
      <alignment vertical="center"/>
    </xf>
    <xf numFmtId="0" fontId="39" fillId="0" borderId="21" xfId="24" applyNumberFormat="1" applyFont="1" applyBorder="1" applyAlignment="1">
      <alignment horizontal="center" vertical="center"/>
    </xf>
    <xf numFmtId="176" fontId="39" fillId="0" borderId="22" xfId="25" applyNumberFormat="1" applyFont="1" applyBorder="1" applyAlignment="1">
      <alignment horizontal="right" vertical="center"/>
    </xf>
    <xf numFmtId="41" fontId="39" fillId="22" borderId="0" xfId="25" applyNumberFormat="1" applyFont="1" applyFill="1" applyBorder="1">
      <alignment vertical="center"/>
    </xf>
    <xf numFmtId="0" fontId="39" fillId="22" borderId="0" xfId="24" applyNumberFormat="1" applyFont="1" applyFill="1" applyBorder="1">
      <alignment vertical="center"/>
    </xf>
    <xf numFmtId="0" fontId="39" fillId="22" borderId="0" xfId="24" applyNumberFormat="1" applyFont="1" applyFill="1" applyBorder="1" applyAlignment="1">
      <alignment vertical="center"/>
    </xf>
    <xf numFmtId="0" fontId="39" fillId="22" borderId="0" xfId="24" applyNumberFormat="1" applyFont="1" applyFill="1" applyBorder="1" applyAlignment="1">
      <alignment horizontal="center" vertical="center"/>
    </xf>
    <xf numFmtId="178" fontId="39" fillId="22" borderId="0" xfId="24" applyNumberFormat="1" applyFont="1" applyFill="1" applyBorder="1">
      <alignment vertical="center"/>
    </xf>
    <xf numFmtId="179" fontId="39" fillId="0" borderId="0" xfId="24" applyNumberFormat="1" applyFont="1" applyFill="1" applyBorder="1">
      <alignment vertical="center"/>
    </xf>
    <xf numFmtId="176" fontId="97" fillId="0" borderId="24" xfId="25" applyNumberFormat="1" applyFont="1" applyBorder="1" applyAlignment="1">
      <alignment horizontal="right" vertical="center"/>
    </xf>
    <xf numFmtId="224" fontId="97" fillId="0" borderId="24" xfId="25" applyNumberFormat="1" applyFont="1" applyBorder="1" applyAlignment="1">
      <alignment horizontal="right" vertical="center"/>
    </xf>
    <xf numFmtId="227" fontId="97" fillId="0" borderId="30" xfId="24" applyNumberFormat="1" applyFont="1" applyBorder="1" applyAlignment="1">
      <alignment horizontal="right" vertical="center"/>
    </xf>
    <xf numFmtId="41" fontId="39" fillId="0" borderId="0" xfId="25" applyNumberFormat="1" applyFont="1" applyFill="1" applyBorder="1">
      <alignment vertical="center"/>
    </xf>
    <xf numFmtId="41" fontId="39" fillId="0" borderId="0" xfId="25" applyNumberFormat="1" applyFont="1" applyBorder="1">
      <alignment vertical="center"/>
    </xf>
    <xf numFmtId="0" fontId="39" fillId="0" borderId="0" xfId="24" applyNumberFormat="1" applyFont="1" applyBorder="1">
      <alignment vertical="center"/>
    </xf>
    <xf numFmtId="0" fontId="39" fillId="0" borderId="0" xfId="24" applyNumberFormat="1" applyFont="1" applyBorder="1" applyAlignment="1">
      <alignment horizontal="center" vertical="center"/>
    </xf>
    <xf numFmtId="190" fontId="64" fillId="0" borderId="0" xfId="24" applyNumberFormat="1" applyFont="1" applyBorder="1" applyAlignment="1">
      <alignment vertical="center"/>
    </xf>
    <xf numFmtId="187" fontId="64" fillId="0" borderId="21" xfId="24" applyNumberFormat="1" applyFont="1" applyBorder="1">
      <alignment vertical="center"/>
    </xf>
    <xf numFmtId="49" fontId="64" fillId="22" borderId="37" xfId="24" applyNumberFormat="1" applyFont="1" applyFill="1" applyBorder="1">
      <alignment vertical="center"/>
    </xf>
    <xf numFmtId="41" fontId="64" fillId="22" borderId="37" xfId="25" applyNumberFormat="1" applyFont="1" applyFill="1" applyBorder="1">
      <alignment vertical="center"/>
    </xf>
    <xf numFmtId="0" fontId="64" fillId="22" borderId="37" xfId="24" applyNumberFormat="1" applyFont="1" applyFill="1" applyBorder="1">
      <alignment vertical="center"/>
    </xf>
    <xf numFmtId="0" fontId="64" fillId="22" borderId="37" xfId="24" applyNumberFormat="1" applyFont="1" applyFill="1" applyBorder="1" applyAlignment="1">
      <alignment vertical="center"/>
    </xf>
    <xf numFmtId="0" fontId="64" fillId="22" borderId="37" xfId="24" applyNumberFormat="1" applyFont="1" applyFill="1" applyBorder="1" applyAlignment="1">
      <alignment horizontal="center" vertical="center"/>
    </xf>
    <xf numFmtId="178" fontId="64" fillId="22" borderId="37" xfId="24" applyNumberFormat="1" applyFont="1" applyFill="1" applyBorder="1">
      <alignment vertical="center"/>
    </xf>
    <xf numFmtId="176" fontId="64" fillId="22" borderId="29" xfId="25" applyNumberFormat="1" applyFont="1" applyFill="1" applyBorder="1" applyAlignment="1">
      <alignment horizontal="right" vertical="center"/>
    </xf>
    <xf numFmtId="0" fontId="64" fillId="0" borderId="0" xfId="24" applyNumberFormat="1" applyFont="1" applyFill="1" applyBorder="1" applyAlignment="1">
      <alignment vertical="center"/>
    </xf>
    <xf numFmtId="3" fontId="64" fillId="0" borderId="0" xfId="24" applyNumberFormat="1" applyFont="1" applyFill="1" applyBorder="1">
      <alignment vertical="center"/>
    </xf>
    <xf numFmtId="180" fontId="64" fillId="0" borderId="0" xfId="24" applyNumberFormat="1" applyFont="1" applyBorder="1">
      <alignment vertical="center"/>
    </xf>
    <xf numFmtId="190" fontId="64" fillId="0" borderId="0" xfId="24" applyNumberFormat="1" applyFont="1" applyBorder="1">
      <alignment vertical="center"/>
    </xf>
    <xf numFmtId="176" fontId="64" fillId="0" borderId="22" xfId="25" applyNumberFormat="1" applyFont="1" applyFill="1" applyBorder="1" applyAlignment="1">
      <alignment horizontal="right" vertical="center"/>
    </xf>
    <xf numFmtId="224" fontId="64" fillId="0" borderId="22" xfId="25" applyNumberFormat="1" applyFont="1" applyFill="1" applyBorder="1" applyAlignment="1">
      <alignment horizontal="right" vertical="center"/>
    </xf>
    <xf numFmtId="181" fontId="64" fillId="0" borderId="0" xfId="24" applyNumberFormat="1" applyFont="1" applyFill="1" applyBorder="1" applyAlignment="1" applyProtection="1">
      <alignment vertical="center"/>
    </xf>
    <xf numFmtId="176" fontId="33" fillId="22" borderId="24" xfId="25" applyNumberFormat="1" applyFont="1" applyFill="1" applyBorder="1" applyAlignment="1">
      <alignment horizontal="right" vertical="center"/>
    </xf>
    <xf numFmtId="190" fontId="64" fillId="0" borderId="0" xfId="24" applyNumberFormat="1" applyFont="1" applyFill="1" applyBorder="1">
      <alignment vertical="center"/>
    </xf>
    <xf numFmtId="178" fontId="64" fillId="0" borderId="0" xfId="3" applyNumberFormat="1" applyFont="1">
      <alignment vertical="center"/>
    </xf>
    <xf numFmtId="49" fontId="64" fillId="0" borderId="0" xfId="24" applyNumberFormat="1" applyFont="1" applyBorder="1" applyAlignment="1">
      <alignment horizontal="left" vertical="center" wrapText="1" indent="1"/>
    </xf>
    <xf numFmtId="190" fontId="64" fillId="0" borderId="21" xfId="24" applyNumberFormat="1" applyFont="1" applyBorder="1">
      <alignment vertical="center"/>
    </xf>
    <xf numFmtId="49" fontId="64" fillId="0" borderId="0" xfId="3" applyNumberFormat="1" applyFont="1" applyFill="1" applyBorder="1" applyAlignment="1">
      <alignment horizontal="left" vertical="center" wrapText="1" indent="1"/>
    </xf>
    <xf numFmtId="41" fontId="64" fillId="0" borderId="0" xfId="4" applyNumberFormat="1" applyFont="1" applyFill="1" applyBorder="1" applyAlignment="1">
      <alignment vertical="center" wrapText="1"/>
    </xf>
    <xf numFmtId="187" fontId="64" fillId="0" borderId="0" xfId="3" applyNumberFormat="1" applyFont="1" applyFill="1" applyBorder="1">
      <alignment vertical="center"/>
    </xf>
    <xf numFmtId="182" fontId="64" fillId="0" borderId="0" xfId="3" applyNumberFormat="1" applyFont="1" applyFill="1" applyBorder="1">
      <alignment vertical="center"/>
    </xf>
    <xf numFmtId="182" fontId="64" fillId="0" borderId="0" xfId="3" applyNumberFormat="1" applyFont="1" applyFill="1" applyBorder="1" applyAlignment="1">
      <alignment vertical="center"/>
    </xf>
    <xf numFmtId="0" fontId="64" fillId="0" borderId="0" xfId="3" applyNumberFormat="1" applyFont="1" applyFill="1" applyBorder="1" applyAlignment="1">
      <alignment horizontal="center" vertical="center"/>
    </xf>
    <xf numFmtId="178" fontId="64" fillId="0" borderId="0" xfId="3" applyNumberFormat="1" applyFont="1" applyFill="1" applyBorder="1">
      <alignment vertical="center"/>
    </xf>
    <xf numFmtId="200" fontId="64" fillId="0" borderId="0" xfId="24" applyNumberFormat="1" applyFont="1" applyFill="1" applyBorder="1">
      <alignment vertical="center"/>
    </xf>
    <xf numFmtId="176" fontId="39" fillId="22" borderId="24" xfId="25" applyNumberFormat="1" applyFont="1" applyFill="1" applyBorder="1" applyAlignment="1">
      <alignment horizontal="right" vertical="center"/>
    </xf>
    <xf numFmtId="9" fontId="39" fillId="0" borderId="0" xfId="24" applyNumberFormat="1" applyFont="1" applyFill="1" applyBorder="1" applyAlignment="1">
      <alignment vertical="center" shrinkToFit="1"/>
    </xf>
    <xf numFmtId="186" fontId="39" fillId="0" borderId="0" xfId="24" applyNumberFormat="1" applyFont="1" applyFill="1" applyBorder="1" applyAlignment="1">
      <alignment vertical="center" shrinkToFit="1"/>
    </xf>
    <xf numFmtId="176" fontId="39" fillId="0" borderId="24" xfId="25" applyNumberFormat="1" applyFont="1" applyFill="1" applyBorder="1" applyAlignment="1">
      <alignment horizontal="right" vertical="center"/>
    </xf>
    <xf numFmtId="224" fontId="97" fillId="0" borderId="24" xfId="25" applyNumberFormat="1" applyFont="1" applyFill="1" applyBorder="1" applyAlignment="1">
      <alignment horizontal="right" vertical="center"/>
    </xf>
    <xf numFmtId="227" fontId="97" fillId="0" borderId="30" xfId="24" applyNumberFormat="1" applyFont="1" applyFill="1" applyBorder="1" applyAlignment="1">
      <alignment horizontal="right" vertical="center"/>
    </xf>
    <xf numFmtId="41" fontId="64" fillId="0" borderId="0" xfId="4" applyNumberFormat="1" applyFont="1" applyFill="1" applyBorder="1">
      <alignment vertical="center"/>
    </xf>
    <xf numFmtId="0" fontId="64" fillId="0" borderId="0" xfId="3" applyNumberFormat="1" applyFont="1" applyFill="1" applyBorder="1" applyAlignment="1">
      <alignment vertical="center"/>
    </xf>
    <xf numFmtId="178" fontId="33" fillId="0" borderId="0" xfId="3" applyNumberFormat="1" applyFont="1" applyFill="1" applyBorder="1">
      <alignment vertical="center"/>
    </xf>
    <xf numFmtId="176" fontId="64" fillId="0" borderId="24" xfId="4" applyNumberFormat="1" applyFont="1" applyFill="1" applyBorder="1" applyAlignment="1">
      <alignment horizontal="right" vertical="center"/>
    </xf>
    <xf numFmtId="224" fontId="64" fillId="0" borderId="24" xfId="4" applyNumberFormat="1" applyFont="1" applyFill="1" applyBorder="1" applyAlignment="1">
      <alignment horizontal="right" vertical="center"/>
    </xf>
    <xf numFmtId="227" fontId="64" fillId="0" borderId="30" xfId="5" applyNumberFormat="1" applyFont="1" applyFill="1" applyBorder="1" applyAlignment="1">
      <alignment horizontal="right" vertical="center"/>
    </xf>
    <xf numFmtId="0" fontId="33" fillId="0" borderId="0" xfId="3" applyFont="1" applyFill="1" applyBorder="1" applyAlignment="1">
      <alignment vertical="center"/>
    </xf>
    <xf numFmtId="49" fontId="84" fillId="6" borderId="25" xfId="3" applyNumberFormat="1" applyFont="1" applyFill="1" applyBorder="1">
      <alignment vertical="center"/>
    </xf>
    <xf numFmtId="0" fontId="33" fillId="0" borderId="24" xfId="3" applyFont="1" applyFill="1" applyBorder="1">
      <alignment vertical="center"/>
    </xf>
    <xf numFmtId="49" fontId="65" fillId="22" borderId="0" xfId="30" applyNumberFormat="1" applyFont="1" applyFill="1" applyBorder="1">
      <alignment vertical="center"/>
    </xf>
    <xf numFmtId="0" fontId="65" fillId="22" borderId="0" xfId="30" applyNumberFormat="1" applyFont="1" applyFill="1" applyBorder="1">
      <alignment vertical="center"/>
    </xf>
    <xf numFmtId="0" fontId="65" fillId="22" borderId="0" xfId="30" applyNumberFormat="1" applyFont="1" applyFill="1" applyBorder="1" applyAlignment="1">
      <alignment horizontal="right" vertical="center"/>
    </xf>
    <xf numFmtId="0" fontId="65" fillId="22" borderId="0" xfId="30" applyNumberFormat="1" applyFont="1" applyFill="1" applyBorder="1" applyAlignment="1">
      <alignment vertical="center"/>
    </xf>
    <xf numFmtId="0" fontId="65" fillId="22" borderId="0" xfId="30" applyNumberFormat="1" applyFont="1" applyFill="1" applyBorder="1" applyAlignment="1">
      <alignment horizontal="center" vertical="center"/>
    </xf>
    <xf numFmtId="49" fontId="65" fillId="22" borderId="0" xfId="30" applyNumberFormat="1" applyFont="1" applyFill="1" applyBorder="1" applyAlignment="1">
      <alignment horizontal="center" vertical="center"/>
    </xf>
    <xf numFmtId="178" fontId="65" fillId="22" borderId="0" xfId="30" applyNumberFormat="1" applyFont="1" applyFill="1" applyBorder="1">
      <alignment vertical="center"/>
    </xf>
    <xf numFmtId="0" fontId="33" fillId="0" borderId="0" xfId="3" applyFont="1">
      <alignment vertical="center"/>
    </xf>
    <xf numFmtId="49" fontId="65" fillId="0" borderId="0" xfId="30" applyNumberFormat="1" applyFont="1" applyFill="1" applyBorder="1">
      <alignment vertical="center"/>
    </xf>
    <xf numFmtId="0" fontId="65" fillId="0" borderId="0" xfId="30" applyNumberFormat="1" applyFont="1" applyBorder="1">
      <alignment vertical="center"/>
    </xf>
    <xf numFmtId="187" fontId="39" fillId="0" borderId="0" xfId="24" applyNumberFormat="1" applyFont="1" applyFill="1" applyBorder="1" applyAlignment="1" applyProtection="1">
      <alignment vertical="center"/>
    </xf>
    <xf numFmtId="0" fontId="65" fillId="0" borderId="0" xfId="30" applyNumberFormat="1" applyFont="1" applyBorder="1" applyAlignment="1">
      <alignment horizontal="right" vertical="center"/>
    </xf>
    <xf numFmtId="0" fontId="65" fillId="0" borderId="0" xfId="30" applyNumberFormat="1" applyFont="1" applyBorder="1" applyAlignment="1">
      <alignment vertical="center"/>
    </xf>
    <xf numFmtId="0" fontId="65" fillId="0" borderId="0" xfId="30" applyNumberFormat="1" applyFont="1" applyBorder="1" applyAlignment="1">
      <alignment horizontal="center" vertical="center"/>
    </xf>
    <xf numFmtId="49" fontId="65" fillId="0" borderId="0" xfId="30" applyNumberFormat="1" applyFont="1" applyBorder="1" applyAlignment="1">
      <alignment horizontal="center" vertical="center"/>
    </xf>
    <xf numFmtId="227" fontId="65" fillId="0" borderId="30" xfId="30" applyNumberFormat="1" applyFont="1" applyBorder="1" applyAlignment="1">
      <alignment horizontal="right" vertical="center"/>
    </xf>
    <xf numFmtId="178" fontId="33" fillId="0" borderId="0" xfId="3" applyNumberFormat="1" applyFont="1">
      <alignment vertical="center"/>
    </xf>
    <xf numFmtId="49" fontId="65" fillId="0" borderId="0" xfId="30" applyNumberFormat="1" applyFont="1" applyFill="1" applyBorder="1" applyAlignment="1">
      <alignment horizontal="left" vertical="center" wrapText="1" indent="1"/>
    </xf>
    <xf numFmtId="0" fontId="33" fillId="0" borderId="19" xfId="3" applyFont="1" applyBorder="1">
      <alignment vertical="center"/>
    </xf>
    <xf numFmtId="187" fontId="65" fillId="22" borderId="0" xfId="30" applyNumberFormat="1" applyFont="1" applyFill="1" applyBorder="1" applyAlignment="1">
      <alignment horizontal="right" vertical="center"/>
    </xf>
    <xf numFmtId="182" fontId="65" fillId="22" borderId="0" xfId="30" applyNumberFormat="1" applyFont="1" applyFill="1" applyBorder="1" applyAlignment="1">
      <alignment horizontal="right" vertical="center"/>
    </xf>
    <xf numFmtId="182" fontId="65" fillId="22" borderId="0" xfId="30" applyNumberFormat="1" applyFont="1" applyFill="1" applyBorder="1" applyAlignment="1">
      <alignment vertical="center"/>
    </xf>
    <xf numFmtId="182" fontId="65" fillId="22" borderId="0" xfId="30" applyNumberFormat="1" applyFont="1" applyFill="1" applyBorder="1">
      <alignment vertical="center"/>
    </xf>
    <xf numFmtId="182" fontId="65" fillId="0" borderId="0" xfId="30" applyNumberFormat="1" applyFont="1" applyBorder="1" applyAlignment="1">
      <alignment horizontal="right" vertical="center"/>
    </xf>
    <xf numFmtId="182" fontId="65" fillId="0" borderId="0" xfId="30" applyNumberFormat="1" applyFont="1" applyBorder="1" applyAlignment="1">
      <alignment vertical="center"/>
    </xf>
    <xf numFmtId="182" fontId="65" fillId="0" borderId="0" xfId="30" applyNumberFormat="1" applyFont="1" applyBorder="1">
      <alignment vertical="center"/>
    </xf>
    <xf numFmtId="49" fontId="65" fillId="22" borderId="21" xfId="30" applyNumberFormat="1" applyFont="1" applyFill="1" applyBorder="1">
      <alignment vertical="center"/>
    </xf>
    <xf numFmtId="0" fontId="65" fillId="22" borderId="21" xfId="30" applyNumberFormat="1" applyFont="1" applyFill="1" applyBorder="1">
      <alignment vertical="center"/>
    </xf>
    <xf numFmtId="187" fontId="65" fillId="22" borderId="21" xfId="30" applyNumberFormat="1" applyFont="1" applyFill="1" applyBorder="1" applyAlignment="1">
      <alignment horizontal="right" vertical="center"/>
    </xf>
    <xf numFmtId="182" fontId="65" fillId="22" borderId="21" xfId="30" applyNumberFormat="1" applyFont="1" applyFill="1" applyBorder="1" applyAlignment="1">
      <alignment horizontal="right" vertical="center"/>
    </xf>
    <xf numFmtId="182" fontId="65" fillId="22" borderId="21" xfId="30" applyNumberFormat="1" applyFont="1" applyFill="1" applyBorder="1" applyAlignment="1">
      <alignment vertical="center"/>
    </xf>
    <xf numFmtId="182" fontId="65" fillId="22" borderId="21" xfId="30" applyNumberFormat="1" applyFont="1" applyFill="1" applyBorder="1">
      <alignment vertical="center"/>
    </xf>
    <xf numFmtId="0" fontId="65" fillId="22" borderId="21" xfId="30" applyNumberFormat="1" applyFont="1" applyFill="1" applyBorder="1" applyAlignment="1">
      <alignment horizontal="center" vertical="center"/>
    </xf>
    <xf numFmtId="49" fontId="65" fillId="22" borderId="21" xfId="30" applyNumberFormat="1" applyFont="1" applyFill="1" applyBorder="1" applyAlignment="1">
      <alignment horizontal="center" vertical="center"/>
    </xf>
    <xf numFmtId="178" fontId="65" fillId="22" borderId="21" xfId="30" applyNumberFormat="1" applyFont="1" applyFill="1" applyBorder="1">
      <alignment vertical="center"/>
    </xf>
    <xf numFmtId="176" fontId="33" fillId="22" borderId="22" xfId="25" applyNumberFormat="1" applyFont="1" applyFill="1" applyBorder="1" applyAlignment="1">
      <alignment horizontal="right" vertical="center"/>
    </xf>
    <xf numFmtId="224" fontId="64" fillId="22" borderId="22" xfId="25" applyNumberFormat="1" applyFont="1" applyFill="1" applyBorder="1" applyAlignment="1">
      <alignment horizontal="right" vertical="center"/>
    </xf>
    <xf numFmtId="227" fontId="64" fillId="22" borderId="23" xfId="2" applyNumberFormat="1" applyFont="1" applyFill="1" applyBorder="1" applyAlignment="1">
      <alignment horizontal="right" vertical="center"/>
    </xf>
    <xf numFmtId="181" fontId="65" fillId="22" borderId="0" xfId="30" applyNumberFormat="1" applyFont="1" applyFill="1" applyBorder="1" applyAlignment="1">
      <alignment horizontal="right" vertical="center"/>
    </xf>
    <xf numFmtId="0" fontId="65" fillId="0" borderId="0" xfId="30" applyNumberFormat="1" applyFont="1" applyFill="1" applyBorder="1">
      <alignment vertical="center"/>
    </xf>
    <xf numFmtId="182" fontId="65" fillId="0" borderId="0" xfId="30" applyNumberFormat="1" applyFont="1" applyFill="1" applyBorder="1" applyAlignment="1">
      <alignment horizontal="right" vertical="center"/>
    </xf>
    <xf numFmtId="182" fontId="65" fillId="0" borderId="0" xfId="30" applyNumberFormat="1" applyFont="1" applyFill="1" applyBorder="1" applyAlignment="1">
      <alignment vertical="center"/>
    </xf>
    <xf numFmtId="182" fontId="65" fillId="0" borderId="0" xfId="30" applyNumberFormat="1" applyFont="1" applyFill="1" applyBorder="1">
      <alignment vertical="center"/>
    </xf>
    <xf numFmtId="0" fontId="65" fillId="0" borderId="0" xfId="30" applyNumberFormat="1" applyFont="1" applyFill="1" applyBorder="1" applyAlignment="1">
      <alignment horizontal="center" vertical="center"/>
    </xf>
    <xf numFmtId="49" fontId="65" fillId="0" borderId="0" xfId="30" applyNumberFormat="1" applyFont="1" applyFill="1" applyBorder="1" applyAlignment="1">
      <alignment horizontal="center" vertical="center"/>
    </xf>
    <xf numFmtId="41" fontId="33" fillId="0" borderId="0" xfId="3" applyNumberFormat="1" applyFont="1">
      <alignment vertical="center"/>
    </xf>
    <xf numFmtId="184" fontId="39" fillId="0" borderId="0" xfId="24" applyNumberFormat="1" applyFont="1" applyFill="1" applyBorder="1" applyAlignment="1" applyProtection="1">
      <alignment vertical="center"/>
    </xf>
    <xf numFmtId="0" fontId="33" fillId="0" borderId="35" xfId="3" applyFont="1" applyBorder="1">
      <alignment vertical="center"/>
    </xf>
    <xf numFmtId="0" fontId="33" fillId="0" borderId="22" xfId="3" applyFont="1" applyFill="1" applyBorder="1">
      <alignment vertical="center"/>
    </xf>
    <xf numFmtId="0" fontId="33" fillId="0" borderId="21" xfId="3" applyFont="1" applyFill="1" applyBorder="1">
      <alignment vertical="center"/>
    </xf>
    <xf numFmtId="49" fontId="65" fillId="0" borderId="21" xfId="30" applyNumberFormat="1" applyFont="1" applyFill="1" applyBorder="1">
      <alignment vertical="center"/>
    </xf>
    <xf numFmtId="0" fontId="65" fillId="0" borderId="21" xfId="30" applyNumberFormat="1" applyFont="1" applyBorder="1">
      <alignment vertical="center"/>
    </xf>
    <xf numFmtId="187" fontId="39" fillId="0" borderId="21" xfId="24" applyNumberFormat="1" applyFont="1" applyFill="1" applyBorder="1" applyAlignment="1" applyProtection="1">
      <alignment vertical="center"/>
    </xf>
    <xf numFmtId="182" fontId="65" fillId="0" borderId="21" xfId="30" applyNumberFormat="1" applyFont="1" applyBorder="1" applyAlignment="1">
      <alignment horizontal="right" vertical="center"/>
    </xf>
    <xf numFmtId="182" fontId="65" fillId="0" borderId="21" xfId="30" applyNumberFormat="1" applyFont="1" applyBorder="1" applyAlignment="1">
      <alignment vertical="center"/>
    </xf>
    <xf numFmtId="182" fontId="65" fillId="0" borderId="21" xfId="30" applyNumberFormat="1" applyFont="1" applyBorder="1">
      <alignment vertical="center"/>
    </xf>
    <xf numFmtId="0" fontId="65" fillId="0" borderId="21" xfId="30" applyNumberFormat="1" applyFont="1" applyBorder="1" applyAlignment="1">
      <alignment horizontal="center" vertical="center"/>
    </xf>
    <xf numFmtId="49" fontId="65" fillId="0" borderId="21" xfId="30" applyNumberFormat="1" applyFont="1" applyBorder="1" applyAlignment="1">
      <alignment horizontal="center" vertical="center"/>
    </xf>
    <xf numFmtId="41" fontId="33" fillId="0" borderId="44" xfId="30" applyNumberFormat="1" applyFont="1" applyBorder="1">
      <alignment vertical="center"/>
    </xf>
    <xf numFmtId="227" fontId="65" fillId="0" borderId="23" xfId="30" applyNumberFormat="1" applyFont="1" applyBorder="1" applyAlignment="1">
      <alignment horizontal="right" vertical="center"/>
    </xf>
    <xf numFmtId="180" fontId="39" fillId="0" borderId="0" xfId="24" applyNumberFormat="1" applyFont="1" applyFill="1" applyBorder="1" applyAlignment="1" applyProtection="1">
      <alignment vertical="center"/>
    </xf>
    <xf numFmtId="193" fontId="33" fillId="0" borderId="0" xfId="30" applyNumberFormat="1" applyFont="1" applyFill="1" applyBorder="1">
      <alignment vertical="center"/>
    </xf>
    <xf numFmtId="227" fontId="65" fillId="0" borderId="30" xfId="30" applyNumberFormat="1" applyFont="1" applyFill="1" applyBorder="1" applyAlignment="1">
      <alignment horizontal="right" vertical="center"/>
    </xf>
    <xf numFmtId="206" fontId="33" fillId="0" borderId="0" xfId="3" applyNumberFormat="1" applyFont="1">
      <alignment vertical="center"/>
    </xf>
    <xf numFmtId="181" fontId="65" fillId="0" borderId="0" xfId="30" applyNumberFormat="1" applyFont="1" applyBorder="1" applyAlignment="1">
      <alignment horizontal="right" vertical="center"/>
    </xf>
    <xf numFmtId="41" fontId="33" fillId="26" borderId="0" xfId="1" applyFont="1" applyFill="1">
      <alignment vertical="center"/>
    </xf>
    <xf numFmtId="179" fontId="65" fillId="0" borderId="0" xfId="30" applyNumberFormat="1" applyFont="1" applyBorder="1" applyAlignment="1">
      <alignment horizontal="right" vertical="center"/>
    </xf>
    <xf numFmtId="179" fontId="65" fillId="0" borderId="0" xfId="30" applyNumberFormat="1" applyFont="1" applyFill="1" applyBorder="1" applyAlignment="1">
      <alignment horizontal="right" vertical="center"/>
    </xf>
    <xf numFmtId="180" fontId="65" fillId="0" borderId="0" xfId="30" applyNumberFormat="1" applyFont="1" applyFill="1" applyBorder="1" applyAlignment="1">
      <alignment horizontal="right" vertical="center"/>
    </xf>
    <xf numFmtId="3" fontId="33" fillId="0" borderId="0" xfId="3" applyNumberFormat="1" applyFont="1">
      <alignment vertical="center"/>
    </xf>
    <xf numFmtId="49" fontId="33" fillId="22" borderId="0" xfId="3" applyNumberFormat="1" applyFont="1" applyFill="1" applyBorder="1">
      <alignment vertical="center"/>
    </xf>
    <xf numFmtId="41" fontId="33" fillId="22" borderId="0" xfId="4" applyFont="1" applyFill="1" applyBorder="1">
      <alignment vertical="center"/>
    </xf>
    <xf numFmtId="0" fontId="33" fillId="22" borderId="0" xfId="3" applyFont="1" applyFill="1" applyBorder="1">
      <alignment vertical="center"/>
    </xf>
    <xf numFmtId="187" fontId="33" fillId="22" borderId="0" xfId="3" applyNumberFormat="1" applyFont="1" applyFill="1" applyBorder="1">
      <alignment vertical="center"/>
    </xf>
    <xf numFmtId="182" fontId="33" fillId="22" borderId="0" xfId="3" applyNumberFormat="1" applyFont="1" applyFill="1" applyBorder="1">
      <alignment vertical="center"/>
    </xf>
    <xf numFmtId="182" fontId="33" fillId="22" borderId="0" xfId="3" applyNumberFormat="1" applyFont="1" applyFill="1" applyBorder="1" applyAlignment="1">
      <alignment vertical="center"/>
    </xf>
    <xf numFmtId="0" fontId="33" fillId="22" borderId="0" xfId="3" applyFont="1" applyFill="1" applyBorder="1" applyAlignment="1">
      <alignment horizontal="center" vertical="center"/>
    </xf>
    <xf numFmtId="178" fontId="33" fillId="22" borderId="0" xfId="3" applyNumberFormat="1" applyFont="1" applyFill="1" applyBorder="1">
      <alignment vertical="center"/>
    </xf>
    <xf numFmtId="176" fontId="33" fillId="22" borderId="24" xfId="4" applyNumberFormat="1" applyFont="1" applyFill="1" applyBorder="1" applyAlignment="1">
      <alignment horizontal="right" vertical="center"/>
    </xf>
    <xf numFmtId="41" fontId="33" fillId="0" borderId="0" xfId="4" applyFont="1" applyBorder="1">
      <alignment vertical="center"/>
    </xf>
    <xf numFmtId="0" fontId="33" fillId="0" borderId="0" xfId="3" applyFont="1" applyBorder="1">
      <alignment vertical="center"/>
    </xf>
    <xf numFmtId="181" fontId="33" fillId="0" borderId="0" xfId="3" applyNumberFormat="1" applyFont="1" applyBorder="1">
      <alignment vertical="center"/>
    </xf>
    <xf numFmtId="182" fontId="33" fillId="0" borderId="0" xfId="3" applyNumberFormat="1" applyFont="1" applyBorder="1">
      <alignment vertical="center"/>
    </xf>
    <xf numFmtId="182" fontId="33" fillId="0" borderId="0" xfId="3" applyNumberFormat="1" applyFont="1" applyBorder="1" applyAlignment="1">
      <alignment vertical="center"/>
    </xf>
    <xf numFmtId="0" fontId="33" fillId="0" borderId="0" xfId="3" applyFont="1" applyBorder="1" applyAlignment="1">
      <alignment horizontal="center" vertical="center"/>
    </xf>
    <xf numFmtId="176" fontId="33" fillId="0" borderId="24" xfId="4" applyNumberFormat="1" applyFont="1" applyBorder="1" applyAlignment="1">
      <alignment horizontal="right" vertical="center"/>
    </xf>
    <xf numFmtId="224" fontId="33" fillId="0" borderId="24" xfId="4" applyNumberFormat="1" applyFont="1" applyBorder="1" applyAlignment="1">
      <alignment horizontal="right" vertical="center"/>
    </xf>
    <xf numFmtId="227" fontId="33" fillId="0" borderId="30" xfId="3" applyNumberFormat="1" applyFont="1" applyBorder="1" applyAlignment="1">
      <alignment horizontal="right" vertical="center"/>
    </xf>
    <xf numFmtId="49" fontId="33" fillId="0" borderId="21" xfId="3" applyNumberFormat="1" applyFont="1" applyFill="1" applyBorder="1" applyAlignment="1">
      <alignment horizontal="left" vertical="center" wrapText="1" indent="1"/>
    </xf>
    <xf numFmtId="41" fontId="33" fillId="0" borderId="21" xfId="4" applyFont="1" applyBorder="1">
      <alignment vertical="center"/>
    </xf>
    <xf numFmtId="0" fontId="33" fillId="0" borderId="21" xfId="3" applyFont="1" applyBorder="1">
      <alignment vertical="center"/>
    </xf>
    <xf numFmtId="187" fontId="33" fillId="0" borderId="21" xfId="3" applyNumberFormat="1" applyFont="1" applyBorder="1">
      <alignment vertical="center"/>
    </xf>
    <xf numFmtId="182" fontId="33" fillId="0" borderId="21" xfId="3" applyNumberFormat="1" applyFont="1" applyBorder="1">
      <alignment vertical="center"/>
    </xf>
    <xf numFmtId="182" fontId="33" fillId="0" borderId="21" xfId="3" applyNumberFormat="1" applyFont="1" applyBorder="1" applyAlignment="1">
      <alignment vertical="center"/>
    </xf>
    <xf numFmtId="0" fontId="33" fillId="0" borderId="21" xfId="3" applyFont="1" applyBorder="1" applyAlignment="1">
      <alignment horizontal="center" vertical="center"/>
    </xf>
    <xf numFmtId="176" fontId="33" fillId="0" borderId="22" xfId="4" applyNumberFormat="1" applyFont="1" applyBorder="1" applyAlignment="1">
      <alignment horizontal="right" vertical="center"/>
    </xf>
    <xf numFmtId="224" fontId="33" fillId="0" borderId="22" xfId="4" applyNumberFormat="1" applyFont="1" applyBorder="1" applyAlignment="1">
      <alignment horizontal="right" vertical="center"/>
    </xf>
    <xf numFmtId="227" fontId="33" fillId="0" borderId="23" xfId="3" applyNumberFormat="1" applyFont="1" applyBorder="1" applyAlignment="1">
      <alignment horizontal="right" vertical="center"/>
    </xf>
    <xf numFmtId="0" fontId="33" fillId="0" borderId="36" xfId="3" applyFont="1" applyFill="1" applyBorder="1">
      <alignment vertical="center"/>
    </xf>
    <xf numFmtId="0" fontId="33" fillId="0" borderId="20" xfId="3" applyFont="1" applyFill="1" applyBorder="1">
      <alignment vertical="center"/>
    </xf>
    <xf numFmtId="193" fontId="33" fillId="0" borderId="21" xfId="30" applyNumberFormat="1" applyFont="1" applyBorder="1">
      <alignment vertical="center"/>
    </xf>
    <xf numFmtId="178" fontId="33" fillId="22" borderId="0" xfId="30" applyNumberFormat="1" applyFont="1" applyFill="1" applyBorder="1">
      <alignment vertical="center"/>
    </xf>
    <xf numFmtId="176" fontId="33" fillId="22" borderId="29" xfId="31" applyNumberFormat="1" applyFont="1" applyFill="1" applyBorder="1" applyAlignment="1">
      <alignment horizontal="right" vertical="center"/>
    </xf>
    <xf numFmtId="0" fontId="33" fillId="0" borderId="21" xfId="30" applyFont="1" applyBorder="1" applyAlignment="1">
      <alignment horizontal="left" vertical="center" wrapText="1" indent="1"/>
    </xf>
    <xf numFmtId="41" fontId="33" fillId="0" borderId="21" xfId="31" applyFont="1" applyBorder="1" applyAlignment="1">
      <alignment vertical="center" wrapText="1"/>
    </xf>
    <xf numFmtId="0" fontId="33" fillId="0" borderId="21" xfId="30" applyFont="1" applyBorder="1">
      <alignment vertical="center"/>
    </xf>
    <xf numFmtId="179" fontId="33" fillId="0" borderId="21" xfId="30" applyNumberFormat="1" applyFont="1" applyBorder="1">
      <alignment vertical="center"/>
    </xf>
    <xf numFmtId="182" fontId="33" fillId="0" borderId="21" xfId="30" applyNumberFormat="1" applyFont="1" applyBorder="1">
      <alignment vertical="center"/>
    </xf>
    <xf numFmtId="0" fontId="33" fillId="0" borderId="21" xfId="30" applyFont="1" applyBorder="1" applyAlignment="1">
      <alignment horizontal="center" vertical="center"/>
    </xf>
    <xf numFmtId="176" fontId="33" fillId="0" borderId="22" xfId="31" applyNumberFormat="1" applyFont="1" applyBorder="1" applyAlignment="1">
      <alignment horizontal="right" vertical="center"/>
    </xf>
    <xf numFmtId="224" fontId="33" fillId="0" borderId="22" xfId="31" applyNumberFormat="1" applyFont="1" applyBorder="1" applyAlignment="1">
      <alignment horizontal="right" vertical="center"/>
    </xf>
    <xf numFmtId="227" fontId="33" fillId="0" borderId="23" xfId="30" applyNumberFormat="1" applyFont="1" applyBorder="1" applyAlignment="1">
      <alignment horizontal="right" vertical="center"/>
    </xf>
    <xf numFmtId="227" fontId="64" fillId="0" borderId="23" xfId="4" applyNumberFormat="1" applyFont="1" applyBorder="1" applyAlignment="1">
      <alignment horizontal="right" vertical="center"/>
    </xf>
    <xf numFmtId="227" fontId="84" fillId="6" borderId="28" xfId="4" applyNumberFormat="1" applyFont="1" applyFill="1" applyBorder="1" applyAlignment="1">
      <alignment horizontal="right" vertical="center"/>
    </xf>
    <xf numFmtId="0" fontId="64" fillId="0" borderId="42" xfId="3" applyNumberFormat="1" applyFont="1" applyFill="1" applyBorder="1">
      <alignment vertical="center"/>
    </xf>
    <xf numFmtId="176" fontId="64" fillId="4" borderId="42" xfId="4" applyNumberFormat="1" applyFont="1" applyFill="1" applyBorder="1" applyAlignment="1">
      <alignment horizontal="right" vertical="center"/>
    </xf>
    <xf numFmtId="224" fontId="64" fillId="4" borderId="42" xfId="4" applyNumberFormat="1" applyFont="1" applyFill="1" applyBorder="1" applyAlignment="1">
      <alignment horizontal="right" vertical="center"/>
    </xf>
    <xf numFmtId="227" fontId="64" fillId="4" borderId="49" xfId="5" applyNumberFormat="1" applyFont="1" applyFill="1" applyBorder="1" applyAlignment="1">
      <alignment horizontal="right" vertical="center"/>
    </xf>
    <xf numFmtId="49" fontId="64" fillId="0" borderId="21" xfId="3" applyNumberFormat="1" applyFont="1" applyFill="1" applyBorder="1" applyAlignment="1">
      <alignment horizontal="left" vertical="center" indent="1"/>
    </xf>
    <xf numFmtId="187" fontId="64" fillId="0" borderId="21" xfId="3" applyNumberFormat="1" applyFont="1" applyBorder="1">
      <alignment vertical="center"/>
    </xf>
    <xf numFmtId="182" fontId="64" fillId="0" borderId="21" xfId="3" applyNumberFormat="1" applyFont="1" applyBorder="1">
      <alignment vertical="center"/>
    </xf>
    <xf numFmtId="182" fontId="64" fillId="0" borderId="21" xfId="3" applyNumberFormat="1" applyFont="1" applyBorder="1" applyAlignment="1">
      <alignment vertical="center"/>
    </xf>
    <xf numFmtId="41" fontId="64" fillId="0" borderId="21" xfId="3" applyNumberFormat="1" applyFont="1" applyBorder="1">
      <alignment vertical="center"/>
    </xf>
    <xf numFmtId="0" fontId="84" fillId="6" borderId="21" xfId="3" applyNumberFormat="1" applyFont="1" applyFill="1" applyBorder="1">
      <alignment vertical="center"/>
    </xf>
    <xf numFmtId="49" fontId="84" fillId="6" borderId="21" xfId="3" applyNumberFormat="1" applyFont="1" applyFill="1" applyBorder="1">
      <alignment vertical="center"/>
    </xf>
    <xf numFmtId="41" fontId="84" fillId="6" borderId="21" xfId="4" applyNumberFormat="1" applyFont="1" applyFill="1" applyBorder="1">
      <alignment vertical="center"/>
    </xf>
    <xf numFmtId="0" fontId="84" fillId="6" borderId="21" xfId="3" applyNumberFormat="1" applyFont="1" applyFill="1" applyBorder="1" applyAlignment="1">
      <alignment vertical="center"/>
    </xf>
    <xf numFmtId="0" fontId="84" fillId="6" borderId="21" xfId="3" applyNumberFormat="1" applyFont="1" applyFill="1" applyBorder="1" applyAlignment="1">
      <alignment horizontal="center" vertical="center"/>
    </xf>
    <xf numFmtId="176" fontId="84" fillId="6" borderId="22" xfId="4" applyNumberFormat="1" applyFont="1" applyFill="1" applyBorder="1" applyAlignment="1">
      <alignment horizontal="right" vertical="center"/>
    </xf>
    <xf numFmtId="224" fontId="84" fillId="6" borderId="22" xfId="4" applyNumberFormat="1" applyFont="1" applyFill="1" applyBorder="1" applyAlignment="1">
      <alignment horizontal="right" vertical="center"/>
    </xf>
    <xf numFmtId="227" fontId="84" fillId="6" borderId="23" xfId="5" applyNumberFormat="1" applyFont="1" applyFill="1" applyBorder="1" applyAlignment="1">
      <alignment horizontal="right" vertical="center"/>
    </xf>
    <xf numFmtId="0" fontId="64" fillId="5" borderId="29" xfId="3" applyNumberFormat="1" applyFont="1" applyFill="1" applyBorder="1">
      <alignment vertical="center"/>
    </xf>
    <xf numFmtId="49" fontId="64" fillId="7" borderId="25" xfId="3" applyNumberFormat="1" applyFont="1" applyFill="1" applyBorder="1">
      <alignment vertical="center"/>
    </xf>
    <xf numFmtId="41" fontId="64" fillId="7" borderId="25" xfId="4" applyNumberFormat="1" applyFont="1" applyFill="1" applyBorder="1">
      <alignment vertical="center"/>
    </xf>
    <xf numFmtId="0" fontId="64" fillId="7" borderId="25" xfId="3" applyNumberFormat="1" applyFont="1" applyFill="1" applyBorder="1">
      <alignment vertical="center"/>
    </xf>
    <xf numFmtId="0" fontId="64" fillId="7" borderId="25" xfId="3" applyNumberFormat="1" applyFont="1" applyFill="1" applyBorder="1" applyAlignment="1">
      <alignment vertical="center"/>
    </xf>
    <xf numFmtId="0" fontId="64" fillId="7" borderId="25" xfId="3" applyNumberFormat="1" applyFont="1" applyFill="1" applyBorder="1" applyAlignment="1">
      <alignment horizontal="center" vertical="center"/>
    </xf>
    <xf numFmtId="176" fontId="64" fillId="7" borderId="27" xfId="4" applyNumberFormat="1" applyFont="1" applyFill="1" applyBorder="1" applyAlignment="1">
      <alignment horizontal="right" vertical="center"/>
    </xf>
    <xf numFmtId="224" fontId="64" fillId="7" borderId="22" xfId="4" applyNumberFormat="1" applyFont="1" applyFill="1" applyBorder="1" applyAlignment="1">
      <alignment horizontal="right" vertical="center"/>
    </xf>
    <xf numFmtId="227" fontId="64" fillId="7" borderId="23" xfId="5" applyNumberFormat="1" applyFont="1" applyFill="1" applyBorder="1" applyAlignment="1">
      <alignment horizontal="right" vertical="center"/>
    </xf>
    <xf numFmtId="41" fontId="64" fillId="0" borderId="0" xfId="4" applyNumberFormat="1" applyFont="1" applyBorder="1">
      <alignment vertical="center"/>
    </xf>
    <xf numFmtId="0" fontId="64" fillId="0" borderId="0" xfId="3" applyNumberFormat="1" applyFont="1" applyBorder="1" applyAlignment="1">
      <alignment vertical="center"/>
    </xf>
    <xf numFmtId="178" fontId="64" fillId="0" borderId="0" xfId="3" applyNumberFormat="1" applyFont="1" applyBorder="1">
      <alignment vertical="center"/>
    </xf>
    <xf numFmtId="49" fontId="64" fillId="0" borderId="10" xfId="3" applyNumberFormat="1" applyFont="1" applyFill="1" applyBorder="1" applyAlignment="1">
      <alignment horizontal="left" vertical="center" wrapText="1" indent="1"/>
    </xf>
    <xf numFmtId="180" fontId="64" fillId="0" borderId="10" xfId="3" applyNumberFormat="1" applyFont="1" applyBorder="1">
      <alignment vertical="center"/>
    </xf>
    <xf numFmtId="182" fontId="64" fillId="0" borderId="10" xfId="3" applyNumberFormat="1" applyFont="1" applyBorder="1">
      <alignment vertical="center"/>
    </xf>
    <xf numFmtId="182" fontId="64" fillId="0" borderId="10" xfId="3" applyNumberFormat="1" applyFont="1" applyBorder="1" applyAlignment="1">
      <alignment vertical="center"/>
    </xf>
    <xf numFmtId="224" fontId="64" fillId="0" borderId="0" xfId="4" applyNumberFormat="1" applyFont="1" applyAlignment="1">
      <alignment horizontal="right" vertical="center"/>
    </xf>
    <xf numFmtId="227" fontId="64" fillId="0" borderId="0" xfId="3" applyNumberFormat="1" applyFont="1" applyAlignment="1">
      <alignment horizontal="right" vertical="center"/>
    </xf>
    <xf numFmtId="176" fontId="84" fillId="6" borderId="42" xfId="1" applyNumberFormat="1" applyFont="1" applyFill="1" applyBorder="1" applyAlignment="1">
      <alignment horizontal="right" vertical="center"/>
    </xf>
    <xf numFmtId="177" fontId="33" fillId="0" borderId="23" xfId="0" applyNumberFormat="1" applyFont="1" applyBorder="1" applyAlignment="1">
      <alignment horizontal="right" vertical="center"/>
    </xf>
    <xf numFmtId="177" fontId="33" fillId="0" borderId="28" xfId="0" applyNumberFormat="1" applyFont="1" applyBorder="1" applyAlignment="1">
      <alignment horizontal="right" vertical="center"/>
    </xf>
    <xf numFmtId="210" fontId="33" fillId="22" borderId="0" xfId="0" applyNumberFormat="1" applyFont="1" applyFill="1" applyBorder="1">
      <alignment vertical="center"/>
    </xf>
    <xf numFmtId="210" fontId="33" fillId="22" borderId="0" xfId="1" applyNumberFormat="1" applyFont="1" applyFill="1" applyBorder="1">
      <alignment vertical="center"/>
    </xf>
    <xf numFmtId="210" fontId="33" fillId="22" borderId="0" xfId="0" applyNumberFormat="1" applyFont="1" applyFill="1" applyBorder="1" applyAlignment="1">
      <alignment horizontal="center" vertical="center"/>
    </xf>
    <xf numFmtId="195" fontId="33" fillId="22" borderId="0" xfId="0" applyNumberFormat="1" applyFont="1" applyFill="1" applyBorder="1">
      <alignment vertical="center"/>
    </xf>
    <xf numFmtId="41" fontId="65" fillId="0" borderId="0" xfId="37" applyNumberFormat="1" applyFont="1" applyBorder="1" applyAlignment="1">
      <alignment vertical="center" wrapText="1"/>
    </xf>
    <xf numFmtId="0" fontId="65" fillId="0" borderId="0" xfId="38" applyNumberFormat="1" applyFont="1" applyBorder="1">
      <alignment vertical="center"/>
    </xf>
    <xf numFmtId="182" fontId="65" fillId="0" borderId="0" xfId="38" applyNumberFormat="1" applyFont="1" applyBorder="1">
      <alignment vertical="center"/>
    </xf>
    <xf numFmtId="184" fontId="33" fillId="0" borderId="0" xfId="0" applyNumberFormat="1" applyFont="1" applyFill="1" applyBorder="1">
      <alignment vertical="center"/>
    </xf>
    <xf numFmtId="211" fontId="33" fillId="0" borderId="0" xfId="0" applyNumberFormat="1" applyFont="1" applyFill="1" applyBorder="1">
      <alignment vertical="center"/>
    </xf>
    <xf numFmtId="41" fontId="33" fillId="0" borderId="0" xfId="1" applyFont="1" applyFill="1" applyBorder="1" applyAlignment="1">
      <alignment vertical="center" wrapText="1"/>
    </xf>
    <xf numFmtId="179" fontId="33" fillId="0" borderId="0" xfId="0" applyNumberFormat="1" applyFont="1" applyFill="1" applyBorder="1">
      <alignment vertical="center"/>
    </xf>
    <xf numFmtId="0" fontId="33" fillId="0" borderId="30" xfId="0" applyFont="1" applyFill="1" applyBorder="1" applyAlignment="1">
      <alignment horizontal="right" vertical="center"/>
    </xf>
    <xf numFmtId="0" fontId="39" fillId="22" borderId="37" xfId="0" applyFont="1" applyFill="1" applyBorder="1">
      <alignment vertical="center"/>
    </xf>
    <xf numFmtId="41" fontId="39" fillId="22" borderId="37" xfId="1" applyFont="1" applyFill="1" applyBorder="1">
      <alignment vertical="center"/>
    </xf>
    <xf numFmtId="0" fontId="39" fillId="22" borderId="37" xfId="0" applyFont="1" applyFill="1" applyBorder="1" applyAlignment="1">
      <alignment horizontal="center" vertical="center"/>
    </xf>
    <xf numFmtId="178" fontId="39" fillId="22" borderId="37" xfId="0" applyNumberFormat="1" applyFont="1" applyFill="1" applyBorder="1">
      <alignment vertical="center"/>
    </xf>
    <xf numFmtId="177" fontId="33" fillId="22" borderId="38" xfId="2" applyNumberFormat="1" applyFont="1" applyFill="1" applyBorder="1" applyAlignment="1">
      <alignment horizontal="right" vertical="center"/>
    </xf>
    <xf numFmtId="180" fontId="39" fillId="0" borderId="10" xfId="0" applyNumberFormat="1" applyFont="1" applyBorder="1" applyAlignment="1">
      <alignment horizontal="right" vertical="center"/>
    </xf>
    <xf numFmtId="41" fontId="39" fillId="0" borderId="10" xfId="0" applyNumberFormat="1" applyFont="1" applyBorder="1">
      <alignment vertical="center"/>
    </xf>
    <xf numFmtId="0" fontId="33" fillId="0" borderId="13" xfId="0" applyFont="1" applyBorder="1" applyAlignment="1">
      <alignment horizontal="right" vertical="center"/>
    </xf>
    <xf numFmtId="210" fontId="84" fillId="6" borderId="14" xfId="0" applyNumberFormat="1" applyFont="1" applyFill="1" applyBorder="1">
      <alignment vertical="center"/>
    </xf>
    <xf numFmtId="210" fontId="84" fillId="6" borderId="15" xfId="0" applyNumberFormat="1" applyFont="1" applyFill="1" applyBorder="1">
      <alignment vertical="center"/>
    </xf>
    <xf numFmtId="210" fontId="84" fillId="6" borderId="16" xfId="0" applyNumberFormat="1" applyFont="1" applyFill="1" applyBorder="1">
      <alignment vertical="center"/>
    </xf>
    <xf numFmtId="210" fontId="84" fillId="6" borderId="16" xfId="1" applyNumberFormat="1" applyFont="1" applyFill="1" applyBorder="1">
      <alignment vertical="center"/>
    </xf>
    <xf numFmtId="210" fontId="84" fillId="6" borderId="16" xfId="0" applyNumberFormat="1" applyFont="1" applyFill="1" applyBorder="1" applyAlignment="1">
      <alignment horizontal="center" vertical="center"/>
    </xf>
    <xf numFmtId="0" fontId="33" fillId="0" borderId="33" xfId="0" applyFont="1" applyBorder="1">
      <alignment vertical="center"/>
    </xf>
    <xf numFmtId="193" fontId="65" fillId="0" borderId="0" xfId="24" applyNumberFormat="1" applyFont="1" applyBorder="1">
      <alignment vertical="center"/>
    </xf>
    <xf numFmtId="227" fontId="33" fillId="22" borderId="38" xfId="0" applyNumberFormat="1" applyFont="1" applyFill="1" applyBorder="1" applyAlignment="1">
      <alignment horizontal="right" vertical="center"/>
    </xf>
    <xf numFmtId="180" fontId="39" fillId="0" borderId="0" xfId="0" applyNumberFormat="1" applyFont="1" applyBorder="1">
      <alignment vertical="center"/>
    </xf>
    <xf numFmtId="227" fontId="33" fillId="22" borderId="30" xfId="2" applyNumberFormat="1" applyFont="1" applyFill="1" applyBorder="1" applyAlignment="1">
      <alignment horizontal="right" vertical="center"/>
    </xf>
    <xf numFmtId="181" fontId="33" fillId="22" borderId="0" xfId="0" applyNumberFormat="1" applyFont="1" applyFill="1" applyBorder="1">
      <alignment vertical="center"/>
    </xf>
    <xf numFmtId="178" fontId="33" fillId="22" borderId="0" xfId="1" applyNumberFormat="1" applyFont="1" applyFill="1" applyBorder="1">
      <alignment vertical="center"/>
    </xf>
    <xf numFmtId="180" fontId="39" fillId="0" borderId="10" xfId="0" applyNumberFormat="1" applyFont="1" applyBorder="1">
      <alignment vertical="center"/>
    </xf>
    <xf numFmtId="227" fontId="33" fillId="0" borderId="13" xfId="2" applyNumberFormat="1" applyFont="1" applyBorder="1" applyAlignment="1">
      <alignment horizontal="right" vertical="center"/>
    </xf>
    <xf numFmtId="0" fontId="2" fillId="0" borderId="0" xfId="3" applyNumberFormat="1" applyFont="1">
      <alignment vertical="center"/>
    </xf>
    <xf numFmtId="176" fontId="65" fillId="0" borderId="0" xfId="3" applyNumberFormat="1" applyFont="1" applyAlignment="1">
      <alignment horizontal="center" vertical="center"/>
    </xf>
    <xf numFmtId="176" fontId="65" fillId="0" borderId="0" xfId="3" applyNumberFormat="1" applyFont="1">
      <alignment vertical="center"/>
    </xf>
    <xf numFmtId="41" fontId="2" fillId="0" borderId="0" xfId="1" applyFont="1">
      <alignment vertical="center"/>
    </xf>
    <xf numFmtId="176" fontId="2" fillId="0" borderId="0" xfId="3" applyNumberFormat="1" applyFont="1">
      <alignment vertical="center"/>
    </xf>
    <xf numFmtId="176" fontId="2" fillId="0" borderId="0" xfId="1" applyNumberFormat="1" applyFont="1">
      <alignment vertical="center"/>
    </xf>
    <xf numFmtId="178" fontId="2" fillId="0" borderId="0" xfId="3" applyNumberFormat="1" applyFont="1">
      <alignment vertical="center"/>
    </xf>
    <xf numFmtId="43" fontId="2" fillId="0" borderId="0" xfId="3" applyNumberFormat="1" applyFont="1">
      <alignment vertical="center"/>
    </xf>
    <xf numFmtId="176" fontId="65" fillId="0" borderId="0" xfId="1" applyNumberFormat="1" applyFont="1">
      <alignment vertical="center"/>
    </xf>
    <xf numFmtId="41" fontId="2" fillId="0" borderId="0" xfId="3" applyNumberFormat="1" applyFont="1">
      <alignment vertical="center"/>
    </xf>
    <xf numFmtId="176" fontId="39" fillId="0" borderId="0" xfId="1" applyNumberFormat="1" applyFont="1">
      <alignment vertical="center"/>
    </xf>
    <xf numFmtId="176" fontId="19" fillId="0" borderId="0" xfId="1" applyNumberFormat="1" applyFont="1">
      <alignment vertical="center"/>
    </xf>
    <xf numFmtId="0" fontId="2" fillId="0" borderId="0" xfId="3" applyNumberFormat="1" applyFont="1" applyFill="1">
      <alignment vertical="center"/>
    </xf>
    <xf numFmtId="41" fontId="2" fillId="0" borderId="0" xfId="4" applyNumberFormat="1" applyFont="1">
      <alignment vertical="center"/>
    </xf>
    <xf numFmtId="0" fontId="2" fillId="0" borderId="0" xfId="3" applyNumberFormat="1" applyFont="1" applyAlignment="1">
      <alignment horizontal="center" vertical="center"/>
    </xf>
    <xf numFmtId="176" fontId="2" fillId="0" borderId="0" xfId="4" applyNumberFormat="1" applyFont="1" applyAlignment="1">
      <alignment horizontal="right" vertical="center"/>
    </xf>
    <xf numFmtId="41" fontId="2" fillId="0" borderId="0" xfId="4" applyNumberFormat="1" applyFont="1" applyAlignment="1">
      <alignment horizontal="right" vertical="center"/>
    </xf>
    <xf numFmtId="224" fontId="2" fillId="0" borderId="0" xfId="4" applyNumberFormat="1" applyFont="1" applyAlignment="1">
      <alignment horizontal="right" vertical="center"/>
    </xf>
    <xf numFmtId="227" fontId="2" fillId="0" borderId="0" xfId="3" applyNumberFormat="1" applyFont="1" applyAlignment="1">
      <alignment horizontal="right" vertical="center"/>
    </xf>
    <xf numFmtId="0" fontId="27" fillId="0" borderId="0" xfId="26" applyFont="1">
      <alignment vertical="center"/>
    </xf>
    <xf numFmtId="0" fontId="33" fillId="0" borderId="0" xfId="26" applyFont="1" applyAlignment="1">
      <alignment horizontal="center" vertical="center"/>
    </xf>
    <xf numFmtId="0" fontId="27" fillId="0" borderId="0" xfId="26" applyFont="1" applyFill="1">
      <alignment vertical="center"/>
    </xf>
    <xf numFmtId="41" fontId="27" fillId="0" borderId="0" xfId="27" applyFont="1">
      <alignment vertical="center"/>
    </xf>
    <xf numFmtId="0" fontId="27" fillId="0" borderId="0" xfId="26" applyFont="1" applyAlignment="1">
      <alignment horizontal="center" vertical="center"/>
    </xf>
    <xf numFmtId="41" fontId="33" fillId="0" borderId="0" xfId="27" applyFont="1" applyAlignment="1">
      <alignment horizontal="right" vertical="center"/>
    </xf>
    <xf numFmtId="224" fontId="33" fillId="0" borderId="0" xfId="27" applyNumberFormat="1" applyFont="1" applyAlignment="1">
      <alignment horizontal="right" vertical="center"/>
    </xf>
    <xf numFmtId="227" fontId="33" fillId="0" borderId="0" xfId="26" applyNumberFormat="1" applyFont="1" applyAlignment="1">
      <alignment horizontal="right" vertical="center"/>
    </xf>
    <xf numFmtId="0" fontId="55" fillId="0" borderId="21" xfId="24" applyNumberFormat="1" applyFont="1" applyFill="1" applyBorder="1" applyAlignment="1">
      <alignment horizontal="left" vertical="center" wrapText="1" indent="1"/>
    </xf>
    <xf numFmtId="41" fontId="39" fillId="0" borderId="21" xfId="25" applyFont="1" applyFill="1" applyBorder="1" applyAlignment="1">
      <alignment vertical="center" wrapText="1"/>
    </xf>
    <xf numFmtId="181" fontId="39" fillId="0" borderId="21" xfId="24" applyNumberFormat="1" applyFont="1" applyFill="1" applyBorder="1">
      <alignment vertical="center"/>
    </xf>
    <xf numFmtId="194" fontId="39" fillId="0" borderId="21" xfId="24" applyNumberFormat="1" applyFont="1" applyFill="1" applyBorder="1">
      <alignment vertical="center"/>
    </xf>
    <xf numFmtId="41" fontId="55" fillId="0" borderId="21" xfId="24" applyNumberFormat="1" applyFont="1" applyFill="1" applyBorder="1">
      <alignment vertical="center"/>
    </xf>
    <xf numFmtId="41" fontId="85" fillId="0" borderId="60" xfId="7" applyFont="1" applyFill="1" applyBorder="1" applyAlignment="1">
      <alignment horizontal="left" vertical="center" indent="1"/>
    </xf>
    <xf numFmtId="176" fontId="103" fillId="0" borderId="0" xfId="15" applyNumberFormat="1" applyFont="1" applyBorder="1" applyAlignment="1">
      <alignment horizontal="center" vertical="center"/>
    </xf>
    <xf numFmtId="0" fontId="103" fillId="0" borderId="0" xfId="15" applyFont="1" applyBorder="1" applyAlignment="1">
      <alignment horizontal="center" vertical="center"/>
    </xf>
    <xf numFmtId="176" fontId="87" fillId="0" borderId="0" xfId="15" applyNumberFormat="1" applyFont="1" applyBorder="1" applyAlignment="1">
      <alignment horizontal="center" vertical="center"/>
    </xf>
    <xf numFmtId="0" fontId="87" fillId="0" borderId="0" xfId="15" applyFont="1" applyBorder="1" applyAlignment="1">
      <alignment horizontal="center" vertical="center"/>
    </xf>
    <xf numFmtId="0" fontId="33" fillId="0" borderId="27" xfId="0" applyFont="1" applyFill="1" applyBorder="1">
      <alignment vertical="center"/>
    </xf>
    <xf numFmtId="199" fontId="39" fillId="0" borderId="21" xfId="26" applyNumberFormat="1" applyFont="1" applyFill="1" applyBorder="1">
      <alignment vertical="center"/>
    </xf>
    <xf numFmtId="194" fontId="39" fillId="0" borderId="21" xfId="26" applyNumberFormat="1" applyFont="1" applyFill="1" applyBorder="1">
      <alignment vertical="center"/>
    </xf>
    <xf numFmtId="3" fontId="39" fillId="0" borderId="21" xfId="27" applyNumberFormat="1" applyFont="1" applyFill="1" applyBorder="1">
      <alignment vertical="center"/>
    </xf>
    <xf numFmtId="227" fontId="33" fillId="0" borderId="23" xfId="26" applyNumberFormat="1" applyFont="1" applyBorder="1" applyAlignment="1">
      <alignment horizontal="right" vertical="center"/>
    </xf>
    <xf numFmtId="41" fontId="33" fillId="0" borderId="44" xfId="1" applyFont="1" applyBorder="1">
      <alignment vertical="center"/>
    </xf>
    <xf numFmtId="194" fontId="65" fillId="0" borderId="21" xfId="24" applyNumberFormat="1" applyFont="1" applyBorder="1">
      <alignment vertical="center"/>
    </xf>
    <xf numFmtId="49" fontId="33" fillId="0" borderId="21" xfId="30" applyNumberFormat="1" applyFont="1" applyFill="1" applyBorder="1" applyAlignment="1">
      <alignment horizontal="left" vertical="center" wrapText="1" indent="1"/>
    </xf>
    <xf numFmtId="181" fontId="33" fillId="0" borderId="21" xfId="30" applyNumberFormat="1" applyFont="1" applyFill="1" applyBorder="1">
      <alignment vertical="center"/>
    </xf>
    <xf numFmtId="0" fontId="33" fillId="0" borderId="21" xfId="30" applyFont="1" applyBorder="1" applyAlignment="1">
      <alignment vertical="center"/>
    </xf>
    <xf numFmtId="183" fontId="33" fillId="0" borderId="21" xfId="30" applyNumberFormat="1" applyFont="1" applyBorder="1">
      <alignment vertical="center"/>
    </xf>
    <xf numFmtId="41" fontId="33" fillId="0" borderId="21" xfId="30" applyNumberFormat="1" applyFont="1" applyBorder="1">
      <alignment vertical="center"/>
    </xf>
    <xf numFmtId="176" fontId="33" fillId="0" borderId="22" xfId="25" applyNumberFormat="1" applyFont="1" applyFill="1" applyBorder="1" applyAlignment="1">
      <alignment horizontal="right" vertical="center"/>
    </xf>
    <xf numFmtId="227" fontId="64" fillId="0" borderId="23" xfId="29" applyNumberFormat="1" applyFont="1" applyFill="1" applyBorder="1" applyAlignment="1">
      <alignment horizontal="right" vertical="center"/>
    </xf>
    <xf numFmtId="41" fontId="33" fillId="0" borderId="21" xfId="25" applyNumberFormat="1" applyFont="1" applyFill="1" applyBorder="1" applyAlignment="1">
      <alignment vertical="center" wrapText="1"/>
    </xf>
    <xf numFmtId="0" fontId="33" fillId="0" borderId="21" xfId="24" applyNumberFormat="1" applyFont="1" applyFill="1" applyBorder="1">
      <alignment vertical="center"/>
    </xf>
    <xf numFmtId="0" fontId="33" fillId="0" borderId="21" xfId="24" applyNumberFormat="1" applyFont="1" applyFill="1" applyBorder="1" applyAlignment="1">
      <alignment horizontal="center" vertical="center"/>
    </xf>
    <xf numFmtId="176" fontId="33" fillId="0" borderId="22" xfId="25" applyNumberFormat="1" applyFont="1" applyBorder="1" applyAlignment="1">
      <alignment horizontal="right" vertical="center"/>
    </xf>
    <xf numFmtId="227" fontId="64" fillId="0" borderId="23" xfId="2" applyNumberFormat="1" applyFont="1" applyBorder="1" applyAlignment="1">
      <alignment horizontal="right" vertical="center"/>
    </xf>
    <xf numFmtId="0" fontId="39" fillId="0" borderId="130" xfId="0" applyFont="1" applyBorder="1">
      <alignment vertical="center"/>
    </xf>
    <xf numFmtId="49" fontId="55" fillId="0" borderId="37" xfId="24" applyNumberFormat="1" applyFont="1" applyFill="1" applyBorder="1" applyAlignment="1">
      <alignment horizontal="left" vertical="center" wrapText="1" indent="1"/>
    </xf>
    <xf numFmtId="41" fontId="55" fillId="0" borderId="37" xfId="25" applyNumberFormat="1" applyFont="1" applyFill="1" applyBorder="1" applyAlignment="1">
      <alignment vertical="center" wrapText="1"/>
    </xf>
    <xf numFmtId="0" fontId="55" fillId="0" borderId="37" xfId="24" applyNumberFormat="1" applyFont="1" applyFill="1" applyBorder="1">
      <alignment vertical="center"/>
    </xf>
    <xf numFmtId="187" fontId="55" fillId="0" borderId="37" xfId="24" applyNumberFormat="1" applyFont="1" applyFill="1" applyBorder="1">
      <alignment vertical="center"/>
    </xf>
    <xf numFmtId="0" fontId="55" fillId="0" borderId="37" xfId="24" applyNumberFormat="1" applyFont="1" applyFill="1" applyBorder="1" applyAlignment="1">
      <alignment vertical="center"/>
    </xf>
    <xf numFmtId="0" fontId="55" fillId="0" borderId="37" xfId="24" applyNumberFormat="1" applyFont="1" applyFill="1" applyBorder="1" applyAlignment="1">
      <alignment horizontal="center" vertical="center"/>
    </xf>
    <xf numFmtId="41" fontId="65" fillId="0" borderId="37" xfId="24" applyNumberFormat="1" applyFont="1" applyFill="1" applyBorder="1">
      <alignment vertical="center"/>
    </xf>
    <xf numFmtId="176" fontId="55" fillId="0" borderId="29" xfId="25" applyNumberFormat="1" applyFont="1" applyBorder="1" applyAlignment="1">
      <alignment horizontal="right" vertical="center"/>
    </xf>
    <xf numFmtId="176" fontId="65" fillId="0" borderId="29" xfId="25" applyNumberFormat="1" applyFont="1" applyBorder="1" applyAlignment="1">
      <alignment horizontal="right" vertical="center"/>
    </xf>
    <xf numFmtId="224" fontId="65" fillId="0" borderId="29" xfId="25" applyNumberFormat="1" applyFont="1" applyBorder="1" applyAlignment="1">
      <alignment horizontal="right" vertical="center"/>
    </xf>
    <xf numFmtId="227" fontId="65" fillId="0" borderId="38" xfId="24" applyNumberFormat="1" applyFont="1" applyBorder="1" applyAlignment="1">
      <alignment horizontal="right" vertical="center"/>
    </xf>
    <xf numFmtId="41" fontId="39" fillId="0" borderId="21" xfId="24" applyNumberFormat="1" applyFont="1" applyFill="1" applyBorder="1">
      <alignment vertical="center"/>
    </xf>
    <xf numFmtId="49" fontId="65" fillId="0" borderId="37" xfId="24" applyNumberFormat="1" applyFont="1" applyFill="1" applyBorder="1" applyAlignment="1">
      <alignment horizontal="left" vertical="center" wrapText="1" indent="1"/>
    </xf>
    <xf numFmtId="41" fontId="65" fillId="0" borderId="37" xfId="25" applyNumberFormat="1" applyFont="1" applyBorder="1">
      <alignment vertical="center"/>
    </xf>
    <xf numFmtId="0" fontId="65" fillId="0" borderId="37" xfId="24" applyNumberFormat="1" applyFont="1" applyBorder="1">
      <alignment vertical="center"/>
    </xf>
    <xf numFmtId="187" fontId="65" fillId="0" borderId="37" xfId="24" applyNumberFormat="1" applyFont="1" applyFill="1" applyBorder="1">
      <alignment vertical="center"/>
    </xf>
    <xf numFmtId="0" fontId="65" fillId="0" borderId="37" xfId="24" applyNumberFormat="1" applyFont="1" applyBorder="1" applyAlignment="1">
      <alignment vertical="center"/>
    </xf>
    <xf numFmtId="0" fontId="65" fillId="0" borderId="37" xfId="24" applyNumberFormat="1" applyFont="1" applyBorder="1" applyAlignment="1">
      <alignment horizontal="center" vertical="center"/>
    </xf>
    <xf numFmtId="176" fontId="95" fillId="0" borderId="29" xfId="25" applyNumberFormat="1" applyFont="1" applyBorder="1" applyAlignment="1">
      <alignment horizontal="right" vertical="center"/>
    </xf>
    <xf numFmtId="224" fontId="95" fillId="0" borderId="29" xfId="25" applyNumberFormat="1" applyFont="1" applyBorder="1" applyAlignment="1">
      <alignment horizontal="right" vertical="center"/>
    </xf>
    <xf numFmtId="176" fontId="55" fillId="0" borderId="22" xfId="25" applyNumberFormat="1" applyFont="1" applyFill="1" applyBorder="1" applyAlignment="1">
      <alignment horizontal="right" vertical="center"/>
    </xf>
    <xf numFmtId="224" fontId="95" fillId="0" borderId="22" xfId="25" applyNumberFormat="1" applyFont="1" applyFill="1" applyBorder="1" applyAlignment="1">
      <alignment horizontal="right" vertical="center"/>
    </xf>
    <xf numFmtId="184" fontId="39" fillId="0" borderId="21" xfId="24" applyNumberFormat="1" applyFont="1" applyFill="1" applyBorder="1">
      <alignment vertical="center"/>
    </xf>
    <xf numFmtId="192" fontId="39" fillId="0" borderId="21" xfId="26" applyNumberFormat="1" applyFont="1" applyFill="1" applyBorder="1">
      <alignment vertical="center"/>
    </xf>
    <xf numFmtId="181" fontId="65" fillId="0" borderId="21" xfId="24" applyNumberFormat="1" applyFont="1" applyFill="1" applyBorder="1" applyAlignment="1">
      <alignment vertical="center" shrinkToFit="1"/>
    </xf>
    <xf numFmtId="187" fontId="65" fillId="0" borderId="21" xfId="24" applyNumberFormat="1" applyFont="1" applyBorder="1">
      <alignment vertical="center"/>
    </xf>
    <xf numFmtId="41" fontId="39" fillId="0" borderId="21" xfId="0" applyNumberFormat="1" applyFont="1" applyFill="1" applyBorder="1">
      <alignment vertical="center"/>
    </xf>
    <xf numFmtId="196" fontId="65" fillId="0" borderId="21" xfId="24" applyNumberFormat="1" applyFont="1" applyBorder="1">
      <alignment vertical="center"/>
    </xf>
    <xf numFmtId="187" fontId="33" fillId="0" borderId="21" xfId="24" applyNumberFormat="1" applyFont="1" applyBorder="1">
      <alignment vertical="center"/>
    </xf>
    <xf numFmtId="208" fontId="65" fillId="0" borderId="21" xfId="24" applyNumberFormat="1" applyFont="1" applyBorder="1">
      <alignment vertical="center"/>
    </xf>
    <xf numFmtId="227" fontId="39" fillId="0" borderId="23" xfId="26" applyNumberFormat="1" applyFont="1" applyBorder="1">
      <alignment vertical="center"/>
    </xf>
    <xf numFmtId="49" fontId="55" fillId="0" borderId="21" xfId="26" applyNumberFormat="1" applyFont="1" applyFill="1" applyBorder="1">
      <alignment vertical="center"/>
    </xf>
    <xf numFmtId="182" fontId="55" fillId="0" borderId="21" xfId="26" applyNumberFormat="1" applyFont="1" applyBorder="1">
      <alignment vertical="center"/>
    </xf>
    <xf numFmtId="182" fontId="55" fillId="0" borderId="21" xfId="26" applyNumberFormat="1" applyFont="1" applyBorder="1" applyAlignment="1">
      <alignment vertical="center"/>
    </xf>
    <xf numFmtId="197" fontId="39" fillId="0" borderId="21" xfId="26" applyNumberFormat="1" applyFont="1" applyFill="1" applyBorder="1">
      <alignment vertical="center"/>
    </xf>
    <xf numFmtId="0" fontId="39" fillId="0" borderId="21" xfId="26" applyFont="1" applyFill="1" applyBorder="1" applyAlignment="1">
      <alignment vertical="center"/>
    </xf>
    <xf numFmtId="49" fontId="55" fillId="0" borderId="37" xfId="26" applyNumberFormat="1" applyFont="1" applyFill="1" applyBorder="1" applyAlignment="1">
      <alignment horizontal="left" vertical="center" wrapText="1" indent="1"/>
    </xf>
    <xf numFmtId="41" fontId="55" fillId="0" borderId="37" xfId="47" applyNumberFormat="1" applyFont="1" applyBorder="1">
      <alignment vertical="center"/>
    </xf>
    <xf numFmtId="0" fontId="55" fillId="0" borderId="37" xfId="26" applyNumberFormat="1" applyFont="1" applyBorder="1">
      <alignment vertical="center"/>
    </xf>
    <xf numFmtId="187" fontId="55" fillId="0" borderId="37" xfId="26" applyNumberFormat="1" applyFont="1" applyBorder="1">
      <alignment vertical="center"/>
    </xf>
    <xf numFmtId="0" fontId="55" fillId="0" borderId="37" xfId="26" applyNumberFormat="1" applyFont="1" applyBorder="1" applyAlignment="1">
      <alignment vertical="center"/>
    </xf>
    <xf numFmtId="0" fontId="55" fillId="0" borderId="37" xfId="26" applyNumberFormat="1" applyFont="1" applyBorder="1" applyAlignment="1">
      <alignment horizontal="center" vertical="center"/>
    </xf>
    <xf numFmtId="206" fontId="55" fillId="0" borderId="37" xfId="26" applyNumberFormat="1" applyFont="1" applyBorder="1">
      <alignment vertical="center"/>
    </xf>
    <xf numFmtId="227" fontId="65" fillId="0" borderId="38" xfId="26" applyNumberFormat="1" applyFont="1" applyBorder="1" applyAlignment="1">
      <alignment horizontal="right" vertical="center"/>
    </xf>
    <xf numFmtId="41" fontId="99" fillId="0" borderId="21" xfId="25" applyNumberFormat="1" applyFont="1" applyFill="1" applyBorder="1" applyAlignment="1">
      <alignment vertical="center" wrapText="1"/>
    </xf>
    <xf numFmtId="187" fontId="39" fillId="0" borderId="21" xfId="33" applyNumberFormat="1" applyFont="1" applyBorder="1">
      <alignment vertical="center"/>
    </xf>
    <xf numFmtId="182" fontId="39" fillId="0" borderId="21" xfId="33" applyNumberFormat="1" applyFont="1" applyFill="1" applyBorder="1">
      <alignment vertical="center"/>
    </xf>
    <xf numFmtId="49" fontId="99" fillId="0" borderId="21" xfId="24" applyNumberFormat="1" applyFont="1" applyFill="1" applyBorder="1" applyAlignment="1">
      <alignment horizontal="left" vertical="center" indent="1"/>
    </xf>
    <xf numFmtId="190" fontId="99" fillId="0" borderId="21" xfId="24" applyNumberFormat="1" applyFont="1" applyFill="1" applyBorder="1" applyAlignment="1" applyProtection="1">
      <alignment vertical="center"/>
    </xf>
    <xf numFmtId="187" fontId="99" fillId="0" borderId="21" xfId="24" applyNumberFormat="1" applyFont="1" applyBorder="1">
      <alignment vertical="center"/>
    </xf>
    <xf numFmtId="41" fontId="99" fillId="0" borderId="21" xfId="43" applyFont="1" applyBorder="1" applyAlignment="1">
      <alignment vertical="center" wrapText="1"/>
    </xf>
    <xf numFmtId="182" fontId="99" fillId="0" borderId="21" xfId="33" applyNumberFormat="1" applyFont="1" applyBorder="1">
      <alignment vertical="center"/>
    </xf>
    <xf numFmtId="181" fontId="99" fillId="0" borderId="21" xfId="33" applyNumberFormat="1" applyFont="1" applyBorder="1">
      <alignment vertical="center"/>
    </xf>
    <xf numFmtId="0" fontId="99" fillId="0" borderId="21" xfId="24" applyNumberFormat="1" applyFont="1" applyBorder="1" applyAlignment="1">
      <alignment horizontal="left" vertical="center" wrapText="1" indent="1"/>
    </xf>
    <xf numFmtId="181" fontId="99" fillId="0" borderId="21" xfId="24" applyNumberFormat="1" applyFont="1" applyBorder="1">
      <alignment vertical="center"/>
    </xf>
    <xf numFmtId="0" fontId="100" fillId="0" borderId="35" xfId="24" applyNumberFormat="1" applyFont="1" applyBorder="1">
      <alignment vertical="center"/>
    </xf>
    <xf numFmtId="182" fontId="99" fillId="0" borderId="21" xfId="24" applyNumberFormat="1" applyFont="1" applyFill="1" applyBorder="1" applyAlignment="1">
      <alignment vertical="center"/>
    </xf>
    <xf numFmtId="182" fontId="99" fillId="0" borderId="21" xfId="24" applyNumberFormat="1" applyFont="1" applyFill="1" applyBorder="1">
      <alignment vertical="center"/>
    </xf>
    <xf numFmtId="227" fontId="99" fillId="0" borderId="23" xfId="25" applyNumberFormat="1" applyFont="1" applyBorder="1" applyAlignment="1">
      <alignment horizontal="right" vertical="center"/>
    </xf>
    <xf numFmtId="0" fontId="65" fillId="0" borderId="21" xfId="40" applyNumberFormat="1" applyFont="1" applyBorder="1" applyAlignment="1">
      <alignment horizontal="left" vertical="center"/>
    </xf>
    <xf numFmtId="41" fontId="65" fillId="0" borderId="21" xfId="25" applyNumberFormat="1" applyFont="1" applyBorder="1" applyAlignment="1">
      <alignment horizontal="center" vertical="top"/>
    </xf>
    <xf numFmtId="9" fontId="65" fillId="0" borderId="21" xfId="40" applyNumberFormat="1" applyFont="1" applyBorder="1">
      <alignment vertical="center"/>
    </xf>
    <xf numFmtId="41" fontId="65" fillId="0" borderId="44" xfId="25" applyNumberFormat="1" applyFont="1" applyFill="1" applyBorder="1">
      <alignment vertical="center"/>
    </xf>
    <xf numFmtId="0" fontId="33" fillId="0" borderId="35" xfId="40" applyFont="1" applyBorder="1">
      <alignment vertical="center"/>
    </xf>
    <xf numFmtId="0" fontId="33" fillId="0" borderId="22" xfId="40" applyFont="1" applyFill="1" applyBorder="1">
      <alignment vertical="center"/>
    </xf>
    <xf numFmtId="181" fontId="65" fillId="0" borderId="21" xfId="40" applyNumberFormat="1" applyFont="1" applyBorder="1">
      <alignment vertical="center"/>
    </xf>
    <xf numFmtId="49" fontId="65" fillId="0" borderId="21" xfId="40" applyNumberFormat="1" applyFont="1" applyFill="1" applyBorder="1" applyAlignment="1">
      <alignment horizontal="left" vertical="center" indent="1"/>
    </xf>
    <xf numFmtId="196" fontId="65" fillId="0" borderId="21" xfId="40" applyNumberFormat="1" applyFont="1" applyBorder="1">
      <alignment vertical="center"/>
    </xf>
    <xf numFmtId="0" fontId="65" fillId="0" borderId="21" xfId="40" applyNumberFormat="1" applyFont="1" applyFill="1" applyBorder="1" applyAlignment="1">
      <alignment horizontal="left" vertical="center" wrapText="1" indent="1"/>
    </xf>
    <xf numFmtId="0" fontId="65" fillId="0" borderId="21" xfId="40" applyNumberFormat="1" applyFont="1" applyFill="1" applyBorder="1">
      <alignment vertical="center"/>
    </xf>
    <xf numFmtId="187" fontId="65" fillId="0" borderId="21" xfId="40" applyNumberFormat="1" applyFont="1" applyFill="1" applyBorder="1">
      <alignment vertical="center"/>
    </xf>
    <xf numFmtId="0" fontId="65" fillId="0" borderId="21" xfId="40" applyFont="1" applyFill="1" applyBorder="1">
      <alignment vertical="center"/>
    </xf>
    <xf numFmtId="0" fontId="65" fillId="0" borderId="21" xfId="40" applyFont="1" applyFill="1" applyBorder="1" applyAlignment="1">
      <alignment vertical="center"/>
    </xf>
    <xf numFmtId="0" fontId="65" fillId="0" borderId="21" xfId="40" applyNumberFormat="1" applyFont="1" applyFill="1" applyBorder="1" applyAlignment="1">
      <alignment horizontal="center" vertical="center"/>
    </xf>
    <xf numFmtId="41" fontId="65" fillId="0" borderId="21" xfId="40" applyNumberFormat="1" applyFont="1" applyFill="1" applyBorder="1">
      <alignment vertical="center"/>
    </xf>
    <xf numFmtId="176" fontId="64" fillId="22" borderId="22" xfId="25" applyNumberFormat="1" applyFont="1" applyFill="1" applyBorder="1" applyAlignment="1">
      <alignment horizontal="right" vertical="center"/>
    </xf>
    <xf numFmtId="210" fontId="64" fillId="0" borderId="22" xfId="3" applyNumberFormat="1" applyFont="1" applyFill="1" applyBorder="1">
      <alignment vertical="center"/>
    </xf>
    <xf numFmtId="49" fontId="68" fillId="22" borderId="21" xfId="24" applyNumberFormat="1" applyFont="1" applyFill="1" applyBorder="1">
      <alignment vertical="center"/>
    </xf>
    <xf numFmtId="0" fontId="68" fillId="22" borderId="21" xfId="24" applyNumberFormat="1" applyFont="1" applyFill="1" applyBorder="1">
      <alignment vertical="center"/>
    </xf>
    <xf numFmtId="0" fontId="68" fillId="22" borderId="21" xfId="24" applyNumberFormat="1" applyFont="1" applyFill="1" applyBorder="1" applyAlignment="1">
      <alignment horizontal="center" vertical="center"/>
    </xf>
    <xf numFmtId="178" fontId="68" fillId="22" borderId="21" xfId="24" applyNumberFormat="1" applyFont="1" applyFill="1" applyBorder="1">
      <alignment vertical="center"/>
    </xf>
    <xf numFmtId="0" fontId="49" fillId="0" borderId="66" xfId="1" applyNumberFormat="1" applyFont="1" applyFill="1" applyBorder="1" applyAlignment="1">
      <alignment horizontal="distributed" vertical="center" indent="1"/>
    </xf>
    <xf numFmtId="176" fontId="49" fillId="0" borderId="67" xfId="1" applyNumberFormat="1" applyFont="1" applyFill="1" applyBorder="1" applyAlignment="1">
      <alignment horizontal="right" vertical="center"/>
    </xf>
    <xf numFmtId="177" fontId="86" fillId="0" borderId="67" xfId="17" applyNumberFormat="1" applyFont="1" applyFill="1" applyBorder="1" applyAlignment="1">
      <alignment horizontal="center" vertical="center"/>
    </xf>
    <xf numFmtId="224" fontId="49" fillId="0" borderId="67" xfId="1" applyNumberFormat="1" applyFont="1" applyFill="1" applyBorder="1" applyAlignment="1">
      <alignment horizontal="right" vertical="center"/>
    </xf>
    <xf numFmtId="227" fontId="86" fillId="0" borderId="68" xfId="17" applyNumberFormat="1" applyFont="1" applyFill="1" applyBorder="1" applyAlignment="1">
      <alignment horizontal="center" vertical="center"/>
    </xf>
    <xf numFmtId="0" fontId="49" fillId="0" borderId="69" xfId="1" applyNumberFormat="1" applyFont="1" applyFill="1" applyBorder="1" applyAlignment="1">
      <alignment horizontal="distributed" vertical="center" indent="1"/>
    </xf>
    <xf numFmtId="176" fontId="49" fillId="0" borderId="70" xfId="1" applyNumberFormat="1" applyFont="1" applyFill="1" applyBorder="1" applyAlignment="1">
      <alignment horizontal="right" vertical="center"/>
    </xf>
    <xf numFmtId="177" fontId="86" fillId="0" borderId="70" xfId="17" applyNumberFormat="1" applyFont="1" applyFill="1" applyBorder="1" applyAlignment="1">
      <alignment horizontal="center" vertical="center"/>
    </xf>
    <xf numFmtId="224" fontId="49" fillId="0" borderId="70" xfId="1" applyNumberFormat="1" applyFont="1" applyFill="1" applyBorder="1" applyAlignment="1">
      <alignment horizontal="right" vertical="center"/>
    </xf>
    <xf numFmtId="227" fontId="86" fillId="0" borderId="71" xfId="17" applyNumberFormat="1" applyFont="1" applyFill="1" applyBorder="1" applyAlignment="1">
      <alignment horizontal="center" vertical="center"/>
    </xf>
    <xf numFmtId="0" fontId="49" fillId="0" borderId="60" xfId="1" applyNumberFormat="1" applyFont="1" applyFill="1" applyBorder="1" applyAlignment="1">
      <alignment horizontal="distributed" vertical="center" indent="1"/>
    </xf>
    <xf numFmtId="176" fontId="49" fillId="0" borderId="61" xfId="1" applyNumberFormat="1" applyFont="1" applyFill="1" applyBorder="1" applyAlignment="1">
      <alignment horizontal="right" vertical="center"/>
    </xf>
    <xf numFmtId="0" fontId="49" fillId="0" borderId="72" xfId="1" applyNumberFormat="1" applyFont="1" applyFill="1" applyBorder="1" applyAlignment="1">
      <alignment horizontal="distributed" vertical="center" indent="1"/>
    </xf>
    <xf numFmtId="176" fontId="49" fillId="0" borderId="73" xfId="1" applyNumberFormat="1" applyFont="1" applyFill="1" applyBorder="1" applyAlignment="1">
      <alignment horizontal="right" vertical="center"/>
    </xf>
    <xf numFmtId="177" fontId="86" fillId="0" borderId="73" xfId="17" applyNumberFormat="1" applyFont="1" applyFill="1" applyBorder="1" applyAlignment="1">
      <alignment horizontal="center" vertical="center"/>
    </xf>
    <xf numFmtId="224" fontId="49" fillId="0" borderId="73" xfId="1" applyNumberFormat="1" applyFont="1" applyFill="1" applyBorder="1" applyAlignment="1">
      <alignment horizontal="right" vertical="center"/>
    </xf>
    <xf numFmtId="227" fontId="86" fillId="0" borderId="74" xfId="17" applyNumberFormat="1" applyFont="1" applyFill="1" applyBorder="1" applyAlignment="1">
      <alignment horizontal="center" vertical="center"/>
    </xf>
    <xf numFmtId="176" fontId="86" fillId="0" borderId="67" xfId="18" applyNumberFormat="1" applyFont="1" applyFill="1" applyBorder="1" applyAlignment="1">
      <alignment horizontal="right" vertical="center"/>
    </xf>
    <xf numFmtId="224" fontId="86" fillId="0" borderId="70" xfId="18" applyNumberFormat="1" applyFont="1" applyFill="1" applyBorder="1" applyAlignment="1">
      <alignment horizontal="right" vertical="center"/>
    </xf>
    <xf numFmtId="176" fontId="86" fillId="0" borderId="70" xfId="18" applyNumberFormat="1" applyFont="1" applyFill="1" applyBorder="1" applyAlignment="1">
      <alignment horizontal="right" vertical="center"/>
    </xf>
    <xf numFmtId="176" fontId="86" fillId="0" borderId="70" xfId="1" applyNumberFormat="1" applyFont="1" applyFill="1" applyBorder="1" applyAlignment="1">
      <alignment horizontal="right" vertical="center"/>
    </xf>
    <xf numFmtId="224" fontId="86" fillId="0" borderId="70" xfId="1" applyNumberFormat="1" applyFont="1" applyFill="1" applyBorder="1" applyAlignment="1">
      <alignment horizontal="right" vertical="center"/>
    </xf>
    <xf numFmtId="176" fontId="86" fillId="0" borderId="76" xfId="1" applyNumberFormat="1" applyFont="1" applyFill="1" applyBorder="1" applyAlignment="1">
      <alignment horizontal="right" vertical="center"/>
    </xf>
    <xf numFmtId="177" fontId="86" fillId="0" borderId="76" xfId="17" applyNumberFormat="1" applyFont="1" applyFill="1" applyBorder="1" applyAlignment="1">
      <alignment horizontal="center" vertical="center"/>
    </xf>
    <xf numFmtId="224" fontId="86" fillId="0" borderId="76" xfId="1" applyNumberFormat="1" applyFont="1" applyFill="1" applyBorder="1" applyAlignment="1">
      <alignment horizontal="right" vertical="center"/>
    </xf>
    <xf numFmtId="227" fontId="86" fillId="0" borderId="77" xfId="17" applyNumberFormat="1" applyFont="1" applyFill="1" applyBorder="1" applyAlignment="1">
      <alignment horizontal="center" vertical="center"/>
    </xf>
    <xf numFmtId="176" fontId="86" fillId="0" borderId="67" xfId="1" applyNumberFormat="1" applyFont="1" applyFill="1" applyBorder="1" applyAlignment="1">
      <alignment horizontal="right" vertical="center"/>
    </xf>
    <xf numFmtId="224" fontId="86" fillId="0" borderId="67" xfId="1" applyNumberFormat="1" applyFont="1" applyFill="1" applyBorder="1" applyAlignment="1">
      <alignment horizontal="right" vertical="center"/>
    </xf>
    <xf numFmtId="9" fontId="86" fillId="0" borderId="70" xfId="17" applyFont="1" applyFill="1" applyBorder="1" applyAlignment="1">
      <alignment horizontal="center" vertical="center"/>
    </xf>
    <xf numFmtId="224" fontId="86" fillId="0" borderId="67" xfId="18" applyNumberFormat="1" applyFont="1" applyFill="1" applyBorder="1" applyAlignment="1">
      <alignment horizontal="right" vertical="center"/>
    </xf>
    <xf numFmtId="227" fontId="86" fillId="0" borderId="84" xfId="17" applyNumberFormat="1" applyFont="1" applyFill="1" applyBorder="1" applyAlignment="1">
      <alignment horizontal="center" vertical="center"/>
    </xf>
    <xf numFmtId="177" fontId="86" fillId="0" borderId="78" xfId="17" applyNumberFormat="1" applyFont="1" applyFill="1" applyBorder="1" applyAlignment="1">
      <alignment horizontal="center" vertical="center"/>
    </xf>
    <xf numFmtId="176" fontId="86" fillId="0" borderId="61" xfId="18" applyNumberFormat="1" applyFont="1" applyFill="1" applyBorder="1" applyAlignment="1">
      <alignment horizontal="right" vertical="center"/>
    </xf>
    <xf numFmtId="177" fontId="86" fillId="0" borderId="61" xfId="17" applyNumberFormat="1" applyFont="1" applyFill="1" applyBorder="1" applyAlignment="1">
      <alignment horizontal="center" vertical="center"/>
    </xf>
    <xf numFmtId="224" fontId="86" fillId="0" borderId="61" xfId="18" applyNumberFormat="1" applyFont="1" applyFill="1" applyBorder="1" applyAlignment="1">
      <alignment horizontal="right" vertical="center"/>
    </xf>
    <xf numFmtId="227" fontId="86" fillId="0" borderId="62" xfId="17" applyNumberFormat="1" applyFont="1" applyFill="1" applyBorder="1" applyAlignment="1">
      <alignment horizontal="center" vertical="center"/>
    </xf>
    <xf numFmtId="176" fontId="86" fillId="0" borderId="64" xfId="18" applyNumberFormat="1" applyFont="1" applyFill="1" applyBorder="1" applyAlignment="1">
      <alignment horizontal="right" vertical="center"/>
    </xf>
    <xf numFmtId="177" fontId="86" fillId="0" borderId="64" xfId="17" applyNumberFormat="1" applyFont="1" applyFill="1" applyBorder="1" applyAlignment="1">
      <alignment horizontal="center" vertical="center"/>
    </xf>
    <xf numFmtId="224" fontId="86" fillId="0" borderId="64" xfId="18" applyNumberFormat="1" applyFont="1" applyFill="1" applyBorder="1" applyAlignment="1">
      <alignment horizontal="right" vertical="center"/>
    </xf>
    <xf numFmtId="227" fontId="86" fillId="0" borderId="65" xfId="17" applyNumberFormat="1" applyFont="1" applyFill="1" applyBorder="1" applyAlignment="1">
      <alignment horizontal="center" vertical="center"/>
    </xf>
    <xf numFmtId="176" fontId="85" fillId="0" borderId="70" xfId="18" applyNumberFormat="1" applyFont="1" applyFill="1" applyBorder="1" applyAlignment="1">
      <alignment horizontal="right" vertical="center"/>
    </xf>
    <xf numFmtId="177" fontId="85" fillId="0" borderId="70" xfId="17" applyNumberFormat="1" applyFont="1" applyFill="1" applyBorder="1" applyAlignment="1">
      <alignment horizontal="center" vertical="center"/>
    </xf>
    <xf numFmtId="224" fontId="85" fillId="0" borderId="70" xfId="18" applyNumberFormat="1" applyFont="1" applyFill="1" applyBorder="1" applyAlignment="1">
      <alignment horizontal="right" vertical="center"/>
    </xf>
    <xf numFmtId="227" fontId="85" fillId="0" borderId="71" xfId="17" applyNumberFormat="1" applyFont="1" applyFill="1" applyBorder="1" applyAlignment="1">
      <alignment horizontal="center" vertical="center"/>
    </xf>
    <xf numFmtId="177" fontId="85" fillId="0" borderId="67" xfId="17" applyNumberFormat="1" applyFont="1" applyFill="1" applyBorder="1" applyAlignment="1">
      <alignment horizontal="center" vertical="center"/>
    </xf>
    <xf numFmtId="177" fontId="85" fillId="0" borderId="76" xfId="17" applyNumberFormat="1" applyFont="1" applyFill="1" applyBorder="1" applyAlignment="1">
      <alignment horizontal="center" vertical="center"/>
    </xf>
    <xf numFmtId="227" fontId="85" fillId="0" borderId="77" xfId="17" applyNumberFormat="1" applyFont="1" applyFill="1" applyBorder="1" applyAlignment="1">
      <alignment horizontal="center" vertical="center"/>
    </xf>
    <xf numFmtId="176" fontId="85" fillId="0" borderId="67" xfId="18" applyNumberFormat="1" applyFont="1" applyFill="1" applyBorder="1" applyAlignment="1">
      <alignment horizontal="right" vertical="center"/>
    </xf>
    <xf numFmtId="224" fontId="85" fillId="0" borderId="67" xfId="18" applyNumberFormat="1" applyFont="1" applyFill="1" applyBorder="1" applyAlignment="1">
      <alignment horizontal="right" vertical="center"/>
    </xf>
    <xf numFmtId="227" fontId="85" fillId="0" borderId="68" xfId="17" applyNumberFormat="1" applyFont="1" applyFill="1" applyBorder="1" applyAlignment="1">
      <alignment horizontal="center" vertical="center"/>
    </xf>
    <xf numFmtId="176" fontId="85" fillId="0" borderId="86" xfId="18" applyNumberFormat="1" applyFont="1" applyFill="1" applyBorder="1" applyAlignment="1">
      <alignment horizontal="right" vertical="center"/>
    </xf>
    <xf numFmtId="177" fontId="85" fillId="0" borderId="86" xfId="17" applyNumberFormat="1" applyFont="1" applyFill="1" applyBorder="1" applyAlignment="1">
      <alignment horizontal="center" vertical="center"/>
    </xf>
    <xf numFmtId="224" fontId="85" fillId="0" borderId="86" xfId="18" applyNumberFormat="1" applyFont="1" applyFill="1" applyBorder="1" applyAlignment="1">
      <alignment horizontal="right" vertical="center"/>
    </xf>
    <xf numFmtId="227" fontId="85" fillId="0" borderId="87" xfId="17" applyNumberFormat="1" applyFont="1" applyFill="1" applyBorder="1" applyAlignment="1">
      <alignment horizontal="center" vertical="center"/>
    </xf>
    <xf numFmtId="176" fontId="85" fillId="0" borderId="78" xfId="18" applyNumberFormat="1" applyFont="1" applyFill="1" applyBorder="1" applyAlignment="1">
      <alignment horizontal="right" vertical="center"/>
    </xf>
    <xf numFmtId="176" fontId="85" fillId="0" borderId="76" xfId="18" applyNumberFormat="1" applyFont="1" applyFill="1" applyBorder="1" applyAlignment="1">
      <alignment horizontal="right" vertical="center"/>
    </xf>
    <xf numFmtId="224" fontId="85" fillId="0" borderId="76" xfId="18" applyNumberFormat="1" applyFont="1" applyFill="1" applyBorder="1" applyAlignment="1">
      <alignment horizontal="right" vertical="center"/>
    </xf>
    <xf numFmtId="176" fontId="85" fillId="0" borderId="73" xfId="18" applyNumberFormat="1" applyFont="1" applyFill="1" applyBorder="1" applyAlignment="1">
      <alignment horizontal="right" vertical="center"/>
    </xf>
    <xf numFmtId="177" fontId="85" fillId="0" borderId="73" xfId="17" applyNumberFormat="1" applyFont="1" applyFill="1" applyBorder="1" applyAlignment="1">
      <alignment horizontal="center" vertical="center"/>
    </xf>
    <xf numFmtId="224" fontId="85" fillId="0" borderId="73" xfId="18" applyNumberFormat="1" applyFont="1" applyFill="1" applyBorder="1" applyAlignment="1">
      <alignment horizontal="right" vertical="center"/>
    </xf>
    <xf numFmtId="176" fontId="86" fillId="0" borderId="86" xfId="18" applyNumberFormat="1" applyFont="1" applyFill="1" applyBorder="1" applyAlignment="1">
      <alignment horizontal="right" vertical="center"/>
    </xf>
    <xf numFmtId="177" fontId="86" fillId="0" borderId="86" xfId="17" applyNumberFormat="1" applyFont="1" applyFill="1" applyBorder="1" applyAlignment="1">
      <alignment horizontal="center" vertical="center"/>
    </xf>
    <xf numFmtId="224" fontId="86" fillId="0" borderId="86" xfId="18" applyNumberFormat="1" applyFont="1" applyFill="1" applyBorder="1" applyAlignment="1">
      <alignment horizontal="right" vertical="center"/>
    </xf>
    <xf numFmtId="227" fontId="86" fillId="0" borderId="87" xfId="17" applyNumberFormat="1" applyFont="1" applyFill="1" applyBorder="1" applyAlignment="1">
      <alignment horizontal="center" vertical="center"/>
    </xf>
    <xf numFmtId="176" fontId="86" fillId="0" borderId="76" xfId="18" applyNumberFormat="1" applyFont="1" applyFill="1" applyBorder="1" applyAlignment="1">
      <alignment horizontal="right" vertical="center"/>
    </xf>
    <xf numFmtId="224" fontId="86" fillId="0" borderId="76" xfId="18" applyNumberFormat="1" applyFont="1" applyFill="1" applyBorder="1" applyAlignment="1">
      <alignment horizontal="right" vertical="center"/>
    </xf>
    <xf numFmtId="176" fontId="86" fillId="0" borderId="81" xfId="18" applyNumberFormat="1" applyFont="1" applyFill="1" applyBorder="1" applyAlignment="1">
      <alignment horizontal="right" vertical="center"/>
    </xf>
    <xf numFmtId="177" fontId="86" fillId="0" borderId="81" xfId="17" applyNumberFormat="1" applyFont="1" applyFill="1" applyBorder="1" applyAlignment="1">
      <alignment horizontal="center" vertical="center"/>
    </xf>
    <xf numFmtId="224" fontId="86" fillId="0" borderId="81" xfId="18" applyNumberFormat="1" applyFont="1" applyFill="1" applyBorder="1" applyAlignment="1">
      <alignment horizontal="right" vertical="center"/>
    </xf>
    <xf numFmtId="227" fontId="86" fillId="0" borderId="89" xfId="17" applyNumberFormat="1" applyFont="1" applyFill="1" applyBorder="1" applyAlignment="1">
      <alignment horizontal="center" vertical="center"/>
    </xf>
    <xf numFmtId="176" fontId="85" fillId="0" borderId="61" xfId="18" applyNumberFormat="1" applyFont="1" applyFill="1" applyBorder="1" applyAlignment="1">
      <alignment horizontal="right" vertical="center"/>
    </xf>
    <xf numFmtId="177" fontId="85" fillId="0" borderId="61" xfId="17" applyNumberFormat="1" applyFont="1" applyFill="1" applyBorder="1" applyAlignment="1">
      <alignment horizontal="center" vertical="center"/>
    </xf>
    <xf numFmtId="177" fontId="85" fillId="0" borderId="78" xfId="17" applyNumberFormat="1" applyFont="1" applyFill="1" applyBorder="1" applyAlignment="1">
      <alignment horizontal="center" vertical="center"/>
    </xf>
    <xf numFmtId="224" fontId="85" fillId="0" borderId="61" xfId="18" applyNumberFormat="1" applyFont="1" applyFill="1" applyBorder="1" applyAlignment="1">
      <alignment horizontal="right" vertical="center"/>
    </xf>
    <xf numFmtId="227" fontId="85" fillId="0" borderId="62" xfId="17" applyNumberFormat="1" applyFont="1" applyFill="1" applyBorder="1" applyAlignment="1">
      <alignment horizontal="center" vertical="center"/>
    </xf>
    <xf numFmtId="177" fontId="85" fillId="0" borderId="88" xfId="17" applyNumberFormat="1" applyFont="1" applyFill="1" applyBorder="1" applyAlignment="1">
      <alignment horizontal="center" vertical="center"/>
    </xf>
    <xf numFmtId="227" fontId="85" fillId="0" borderId="74" xfId="17" applyNumberFormat="1" applyFont="1" applyFill="1" applyBorder="1" applyAlignment="1">
      <alignment horizontal="center" vertical="center"/>
    </xf>
    <xf numFmtId="41" fontId="93" fillId="11" borderId="60" xfId="7" applyFont="1" applyFill="1" applyBorder="1" applyAlignment="1">
      <alignment horizontal="center" vertical="center" shrinkToFit="1"/>
    </xf>
    <xf numFmtId="41" fontId="93" fillId="15" borderId="69" xfId="15" applyNumberFormat="1" applyFont="1" applyFill="1" applyBorder="1" applyAlignment="1">
      <alignment horizontal="center" vertical="center" shrinkToFit="1"/>
    </xf>
    <xf numFmtId="41" fontId="93" fillId="11" borderId="104" xfId="7" applyFont="1" applyFill="1" applyBorder="1" applyAlignment="1">
      <alignment horizontal="center" vertical="center" shrinkToFit="1"/>
    </xf>
    <xf numFmtId="0" fontId="93" fillId="15" borderId="72" xfId="15" applyFont="1" applyFill="1" applyBorder="1" applyAlignment="1">
      <alignment horizontal="center" vertical="center" shrinkToFit="1"/>
    </xf>
    <xf numFmtId="41" fontId="94" fillId="6" borderId="82" xfId="7" applyFont="1" applyFill="1" applyBorder="1" applyAlignment="1">
      <alignment horizontal="center" vertical="center" shrinkToFit="1"/>
    </xf>
    <xf numFmtId="41" fontId="93" fillId="12" borderId="63" xfId="7" applyFont="1" applyFill="1" applyBorder="1" applyAlignment="1" applyProtection="1">
      <alignment horizontal="left" vertical="center" shrinkToFit="1"/>
      <protection locked="0"/>
    </xf>
    <xf numFmtId="41" fontId="85" fillId="23" borderId="63" xfId="7" applyFont="1" applyFill="1" applyBorder="1" applyAlignment="1">
      <alignment vertical="center" shrinkToFit="1"/>
    </xf>
    <xf numFmtId="41" fontId="93" fillId="23" borderId="63" xfId="7" applyFont="1" applyFill="1" applyBorder="1" applyAlignment="1">
      <alignment vertical="center" shrinkToFit="1"/>
    </xf>
    <xf numFmtId="41" fontId="86" fillId="0" borderId="66" xfId="7" applyFont="1" applyFill="1" applyBorder="1" applyAlignment="1">
      <alignment horizontal="left" vertical="center" shrinkToFit="1"/>
    </xf>
    <xf numFmtId="41" fontId="92" fillId="0" borderId="85" xfId="7" applyFont="1" applyFill="1" applyBorder="1" applyAlignment="1">
      <alignment horizontal="left" vertical="center" shrinkToFit="1"/>
    </xf>
    <xf numFmtId="176" fontId="92" fillId="0" borderId="86" xfId="18" applyNumberFormat="1" applyFont="1" applyFill="1" applyBorder="1" applyAlignment="1">
      <alignment horizontal="right" vertical="center"/>
    </xf>
    <xf numFmtId="177" fontId="92" fillId="0" borderId="86" xfId="17" applyNumberFormat="1" applyFont="1" applyFill="1" applyBorder="1" applyAlignment="1">
      <alignment horizontal="center" vertical="center"/>
    </xf>
    <xf numFmtId="224" fontId="92" fillId="0" borderId="86" xfId="18" applyNumberFormat="1" applyFont="1" applyFill="1" applyBorder="1" applyAlignment="1">
      <alignment horizontal="right" vertical="center"/>
    </xf>
    <xf numFmtId="227" fontId="92" fillId="0" borderId="87" xfId="17" applyNumberFormat="1" applyFont="1" applyFill="1" applyBorder="1" applyAlignment="1">
      <alignment horizontal="center" vertical="center"/>
    </xf>
    <xf numFmtId="41" fontId="86" fillId="0" borderId="69" xfId="7" applyFont="1" applyFill="1" applyBorder="1" applyAlignment="1">
      <alignment horizontal="left" vertical="center" shrinkToFit="1"/>
    </xf>
    <xf numFmtId="41" fontId="92" fillId="0" borderId="69" xfId="7" applyFont="1" applyFill="1" applyBorder="1" applyAlignment="1">
      <alignment horizontal="left" vertical="center" shrinkToFit="1"/>
    </xf>
    <xf numFmtId="176" fontId="92" fillId="0" borderId="70" xfId="18" applyNumberFormat="1" applyFont="1" applyFill="1" applyBorder="1" applyAlignment="1">
      <alignment horizontal="right" vertical="center"/>
    </xf>
    <xf numFmtId="177" fontId="92" fillId="0" borderId="70" xfId="17" applyNumberFormat="1" applyFont="1" applyFill="1" applyBorder="1" applyAlignment="1">
      <alignment horizontal="center" vertical="center"/>
    </xf>
    <xf numFmtId="224" fontId="92" fillId="0" borderId="70" xfId="18" applyNumberFormat="1" applyFont="1" applyFill="1" applyBorder="1" applyAlignment="1">
      <alignment horizontal="right" vertical="center"/>
    </xf>
    <xf numFmtId="227" fontId="92" fillId="0" borderId="71" xfId="17" applyNumberFormat="1" applyFont="1" applyFill="1" applyBorder="1" applyAlignment="1">
      <alignment horizontal="center" vertical="center"/>
    </xf>
    <xf numFmtId="41" fontId="86" fillId="23" borderId="63" xfId="7" applyFont="1" applyFill="1" applyBorder="1" applyAlignment="1">
      <alignment vertical="center" shrinkToFit="1"/>
    </xf>
    <xf numFmtId="41" fontId="92" fillId="0" borderId="75" xfId="7" applyFont="1" applyFill="1" applyBorder="1" applyAlignment="1">
      <alignment horizontal="left" vertical="center" shrinkToFit="1"/>
    </xf>
    <xf numFmtId="176" fontId="92" fillId="0" borderId="76" xfId="18" applyNumberFormat="1" applyFont="1" applyFill="1" applyBorder="1" applyAlignment="1">
      <alignment horizontal="right" vertical="center"/>
    </xf>
    <xf numFmtId="177" fontId="92" fillId="0" borderId="76" xfId="17" applyNumberFormat="1" applyFont="1" applyFill="1" applyBorder="1" applyAlignment="1">
      <alignment horizontal="center" vertical="center"/>
    </xf>
    <xf numFmtId="224" fontId="92" fillId="0" borderId="76" xfId="18" applyNumberFormat="1" applyFont="1" applyFill="1" applyBorder="1" applyAlignment="1">
      <alignment horizontal="right" vertical="center"/>
    </xf>
    <xf numFmtId="227" fontId="92" fillId="0" borderId="77" xfId="17" applyNumberFormat="1" applyFont="1" applyFill="1" applyBorder="1" applyAlignment="1">
      <alignment horizontal="center" vertical="center"/>
    </xf>
    <xf numFmtId="41" fontId="92" fillId="23" borderId="63" xfId="7" applyFont="1" applyFill="1" applyBorder="1" applyAlignment="1">
      <alignment vertical="center" shrinkToFit="1"/>
    </xf>
    <xf numFmtId="41" fontId="86" fillId="0" borderId="75" xfId="7" applyFont="1" applyFill="1" applyBorder="1" applyAlignment="1">
      <alignment horizontal="left" vertical="center" shrinkToFit="1"/>
    </xf>
    <xf numFmtId="41" fontId="86" fillId="23" borderId="82" xfId="7" applyFont="1" applyFill="1" applyBorder="1" applyAlignment="1">
      <alignment vertical="center" shrinkToFit="1"/>
    </xf>
    <xf numFmtId="176" fontId="86" fillId="23" borderId="83" xfId="18" applyNumberFormat="1" applyFont="1" applyFill="1" applyBorder="1" applyAlignment="1">
      <alignment horizontal="right" vertical="center"/>
    </xf>
    <xf numFmtId="177" fontId="86" fillId="23" borderId="83" xfId="17" applyNumberFormat="1" applyFont="1" applyFill="1" applyBorder="1" applyAlignment="1">
      <alignment horizontal="center" vertical="center"/>
    </xf>
    <xf numFmtId="177" fontId="86" fillId="23" borderId="83" xfId="16" applyNumberFormat="1" applyFont="1" applyFill="1" applyBorder="1" applyAlignment="1">
      <alignment horizontal="center" vertical="center"/>
    </xf>
    <xf numFmtId="224" fontId="86" fillId="23" borderId="83" xfId="18" applyNumberFormat="1" applyFont="1" applyFill="1" applyBorder="1" applyAlignment="1">
      <alignment horizontal="right" vertical="center"/>
    </xf>
    <xf numFmtId="227" fontId="86" fillId="23" borderId="84" xfId="17" applyNumberFormat="1" applyFont="1" applyFill="1" applyBorder="1" applyAlignment="1">
      <alignment horizontal="center" vertical="center"/>
    </xf>
    <xf numFmtId="41" fontId="92" fillId="0" borderId="66" xfId="7" applyFont="1" applyFill="1" applyBorder="1" applyAlignment="1">
      <alignment horizontal="left" vertical="center" shrinkToFit="1"/>
    </xf>
    <xf numFmtId="176" fontId="92" fillId="0" borderId="67" xfId="18" applyNumberFormat="1" applyFont="1" applyFill="1" applyBorder="1" applyAlignment="1">
      <alignment horizontal="right" vertical="center"/>
    </xf>
    <xf numFmtId="177" fontId="92" fillId="0" borderId="67" xfId="17" applyNumberFormat="1" applyFont="1" applyFill="1" applyBorder="1" applyAlignment="1">
      <alignment horizontal="center" vertical="center"/>
    </xf>
    <xf numFmtId="224" fontId="92" fillId="0" borderId="67" xfId="18" applyNumberFormat="1" applyFont="1" applyFill="1" applyBorder="1" applyAlignment="1">
      <alignment horizontal="right" vertical="center"/>
    </xf>
    <xf numFmtId="227" fontId="92" fillId="0" borderId="68" xfId="17" applyNumberFormat="1" applyFont="1" applyFill="1" applyBorder="1" applyAlignment="1">
      <alignment horizontal="center" vertical="center"/>
    </xf>
    <xf numFmtId="41" fontId="86" fillId="0" borderId="85" xfId="7" applyFont="1" applyFill="1" applyBorder="1" applyAlignment="1">
      <alignment horizontal="left" vertical="center" shrinkToFit="1"/>
    </xf>
    <xf numFmtId="41" fontId="86" fillId="0" borderId="79" xfId="7" applyFont="1" applyFill="1" applyBorder="1" applyAlignment="1">
      <alignment horizontal="left" vertical="center" shrinkToFit="1"/>
    </xf>
    <xf numFmtId="41" fontId="86" fillId="23" borderId="80" xfId="7" applyFont="1" applyFill="1" applyBorder="1" applyAlignment="1">
      <alignment vertical="center" shrinkToFit="1"/>
    </xf>
    <xf numFmtId="41" fontId="86" fillId="0" borderId="63" xfId="7" applyFont="1" applyFill="1" applyBorder="1" applyAlignment="1">
      <alignment horizontal="left" vertical="center" shrinkToFit="1"/>
    </xf>
    <xf numFmtId="227" fontId="92" fillId="0" borderId="98" xfId="17" applyNumberFormat="1" applyFont="1" applyFill="1" applyBorder="1" applyAlignment="1">
      <alignment horizontal="center" vertical="center"/>
    </xf>
    <xf numFmtId="41" fontId="86" fillId="0" borderId="82" xfId="7" applyFont="1" applyFill="1" applyBorder="1" applyAlignment="1">
      <alignment horizontal="left" vertical="center" shrinkToFit="1"/>
    </xf>
    <xf numFmtId="176" fontId="86" fillId="0" borderId="83" xfId="18" applyNumberFormat="1" applyFont="1" applyFill="1" applyBorder="1" applyAlignment="1">
      <alignment horizontal="right" vertical="center"/>
    </xf>
    <xf numFmtId="224" fontId="86" fillId="0" borderId="83" xfId="18" applyNumberFormat="1" applyFont="1" applyFill="1" applyBorder="1" applyAlignment="1">
      <alignment horizontal="right" vertical="center"/>
    </xf>
    <xf numFmtId="227" fontId="92" fillId="0" borderId="92" xfId="17" applyNumberFormat="1" applyFont="1" applyFill="1" applyBorder="1" applyAlignment="1">
      <alignment horizontal="center" vertical="center"/>
    </xf>
    <xf numFmtId="41" fontId="86" fillId="0" borderId="80" xfId="7" applyFont="1" applyFill="1" applyBorder="1" applyAlignment="1">
      <alignment horizontal="left" vertical="center" shrinkToFit="1"/>
    </xf>
    <xf numFmtId="41" fontId="93" fillId="13" borderId="82" xfId="7" applyFont="1" applyFill="1" applyBorder="1" applyAlignment="1">
      <alignment horizontal="left" vertical="center" shrinkToFit="1"/>
    </xf>
    <xf numFmtId="41" fontId="85" fillId="13" borderId="63" xfId="7" applyFont="1" applyFill="1" applyBorder="1" applyAlignment="1">
      <alignment horizontal="left" vertical="center" shrinkToFit="1"/>
    </xf>
    <xf numFmtId="41" fontId="93" fillId="0" borderId="85" xfId="7" applyFont="1" applyFill="1" applyBorder="1" applyAlignment="1">
      <alignment horizontal="left" vertical="center" shrinkToFit="1"/>
    </xf>
    <xf numFmtId="176" fontId="93" fillId="0" borderId="86" xfId="18" applyNumberFormat="1" applyFont="1" applyFill="1" applyBorder="1" applyAlignment="1">
      <alignment horizontal="right" vertical="center"/>
    </xf>
    <xf numFmtId="177" fontId="93" fillId="0" borderId="86" xfId="17" applyNumberFormat="1" applyFont="1" applyFill="1" applyBorder="1" applyAlignment="1">
      <alignment horizontal="center" vertical="center"/>
    </xf>
    <xf numFmtId="224" fontId="93" fillId="0" borderId="86" xfId="18" applyNumberFormat="1" applyFont="1" applyFill="1" applyBorder="1" applyAlignment="1">
      <alignment horizontal="right" vertical="center"/>
    </xf>
    <xf numFmtId="227" fontId="93" fillId="0" borderId="108" xfId="17" applyNumberFormat="1" applyFont="1" applyFill="1" applyBorder="1" applyAlignment="1">
      <alignment horizontal="center" vertical="center"/>
    </xf>
    <xf numFmtId="41" fontId="85" fillId="0" borderId="85" xfId="7" applyFont="1" applyFill="1" applyBorder="1" applyAlignment="1">
      <alignment horizontal="left" vertical="center" shrinkToFit="1"/>
    </xf>
    <xf numFmtId="41" fontId="93" fillId="0" borderId="69" xfId="7" applyFont="1" applyFill="1" applyBorder="1" applyAlignment="1">
      <alignment horizontal="left" vertical="center" shrinkToFit="1"/>
    </xf>
    <xf numFmtId="227" fontId="93" fillId="0" borderId="92" xfId="17" applyNumberFormat="1" applyFont="1" applyFill="1" applyBorder="1" applyAlignment="1">
      <alignment horizontal="center" vertical="center"/>
    </xf>
    <xf numFmtId="41" fontId="85" fillId="0" borderId="69" xfId="7" applyFont="1" applyFill="1" applyBorder="1" applyAlignment="1">
      <alignment horizontal="left" vertical="center" shrinkToFit="1"/>
    </xf>
    <xf numFmtId="41" fontId="85" fillId="0" borderId="75" xfId="7" applyFont="1" applyFill="1" applyBorder="1" applyAlignment="1">
      <alignment horizontal="left" vertical="center" shrinkToFit="1"/>
    </xf>
    <xf numFmtId="41" fontId="93" fillId="0" borderId="75" xfId="7" applyFont="1" applyFill="1" applyBorder="1" applyAlignment="1">
      <alignment horizontal="left" vertical="center" shrinkToFit="1"/>
    </xf>
    <xf numFmtId="227" fontId="93" fillId="0" borderId="109" xfId="17" applyNumberFormat="1" applyFont="1" applyFill="1" applyBorder="1" applyAlignment="1">
      <alignment horizontal="center" vertical="center"/>
    </xf>
    <xf numFmtId="41" fontId="85" fillId="0" borderId="80" xfId="7" applyFont="1" applyFill="1" applyBorder="1" applyAlignment="1">
      <alignment horizontal="left" vertical="center" shrinkToFit="1"/>
    </xf>
    <xf numFmtId="176" fontId="85" fillId="0" borderId="81" xfId="18" applyNumberFormat="1" applyFont="1" applyFill="1" applyBorder="1" applyAlignment="1">
      <alignment horizontal="right" vertical="center"/>
    </xf>
    <xf numFmtId="177" fontId="92" fillId="0" borderId="81" xfId="17" applyNumberFormat="1" applyFont="1" applyFill="1" applyBorder="1" applyAlignment="1">
      <alignment horizontal="center" vertical="center"/>
    </xf>
    <xf numFmtId="224" fontId="85" fillId="0" borderId="81" xfId="18" applyNumberFormat="1" applyFont="1" applyFill="1" applyBorder="1" applyAlignment="1">
      <alignment horizontal="right" vertical="center"/>
    </xf>
    <xf numFmtId="227" fontId="85" fillId="0" borderId="89" xfId="17" applyNumberFormat="1" applyFont="1" applyFill="1" applyBorder="1" applyAlignment="1">
      <alignment horizontal="center" vertical="center"/>
    </xf>
    <xf numFmtId="41" fontId="93" fillId="23" borderId="82" xfId="7" applyFont="1" applyFill="1" applyBorder="1" applyAlignment="1">
      <alignment vertical="center" shrinkToFit="1"/>
    </xf>
    <xf numFmtId="176" fontId="93" fillId="23" borderId="83" xfId="18" applyNumberFormat="1" applyFont="1" applyFill="1" applyBorder="1" applyAlignment="1">
      <alignment horizontal="right" vertical="center"/>
    </xf>
    <xf numFmtId="177" fontId="93" fillId="23" borderId="83" xfId="17" applyNumberFormat="1" applyFont="1" applyFill="1" applyBorder="1" applyAlignment="1">
      <alignment horizontal="center" vertical="center"/>
    </xf>
    <xf numFmtId="177" fontId="93" fillId="23" borderId="83" xfId="16" applyNumberFormat="1" applyFont="1" applyFill="1" applyBorder="1" applyAlignment="1">
      <alignment horizontal="center" vertical="center"/>
    </xf>
    <xf numFmtId="224" fontId="93" fillId="23" borderId="83" xfId="18" applyNumberFormat="1" applyFont="1" applyFill="1" applyBorder="1" applyAlignment="1">
      <alignment horizontal="right" vertical="center"/>
    </xf>
    <xf numFmtId="227" fontId="93" fillId="23" borderId="107" xfId="17" applyNumberFormat="1" applyFont="1" applyFill="1" applyBorder="1" applyAlignment="1">
      <alignment horizontal="center" vertical="center"/>
    </xf>
    <xf numFmtId="41" fontId="93" fillId="0" borderId="66" xfId="7" applyFont="1" applyFill="1" applyBorder="1" applyAlignment="1">
      <alignment horizontal="left" vertical="center" shrinkToFit="1"/>
    </xf>
    <xf numFmtId="227" fontId="93" fillId="0" borderId="98" xfId="17" applyNumberFormat="1" applyFont="1" applyFill="1" applyBorder="1" applyAlignment="1">
      <alignment horizontal="center" vertical="center"/>
    </xf>
    <xf numFmtId="41" fontId="85" fillId="0" borderId="66" xfId="7" applyFont="1" applyFill="1" applyBorder="1" applyAlignment="1">
      <alignment horizontal="left" vertical="center" shrinkToFit="1"/>
    </xf>
    <xf numFmtId="227" fontId="93" fillId="0" borderId="87" xfId="17" applyNumberFormat="1" applyFont="1" applyFill="1" applyBorder="1" applyAlignment="1">
      <alignment horizontal="center" vertical="center"/>
    </xf>
    <xf numFmtId="41" fontId="93" fillId="0" borderId="60" xfId="7" applyFont="1" applyFill="1" applyBorder="1" applyAlignment="1">
      <alignment horizontal="left" vertical="center" shrinkToFit="1"/>
    </xf>
    <xf numFmtId="176" fontId="93" fillId="0" borderId="61" xfId="18" applyNumberFormat="1" applyFont="1" applyFill="1" applyBorder="1" applyAlignment="1">
      <alignment horizontal="right" vertical="center"/>
    </xf>
    <xf numFmtId="177" fontId="93" fillId="0" borderId="61" xfId="17" applyNumberFormat="1" applyFont="1" applyFill="1" applyBorder="1" applyAlignment="1">
      <alignment horizontal="center" vertical="center"/>
    </xf>
    <xf numFmtId="224" fontId="93" fillId="0" borderId="61" xfId="18" applyNumberFormat="1" applyFont="1" applyFill="1" applyBorder="1" applyAlignment="1">
      <alignment horizontal="right" vertical="center"/>
    </xf>
    <xf numFmtId="227" fontId="93" fillId="0" borderId="62" xfId="17" applyNumberFormat="1" applyFont="1" applyFill="1" applyBorder="1" applyAlignment="1">
      <alignment horizontal="center" vertical="center"/>
    </xf>
    <xf numFmtId="41" fontId="85" fillId="0" borderId="60" xfId="7" applyFont="1" applyFill="1" applyBorder="1" applyAlignment="1">
      <alignment horizontal="left" vertical="center" shrinkToFit="1"/>
    </xf>
    <xf numFmtId="177" fontId="92" fillId="0" borderId="61" xfId="17" applyNumberFormat="1" applyFont="1" applyFill="1" applyBorder="1" applyAlignment="1">
      <alignment horizontal="center" vertical="center"/>
    </xf>
    <xf numFmtId="41" fontId="93" fillId="0" borderId="66" xfId="7" applyFont="1" applyFill="1" applyBorder="1" applyAlignment="1">
      <alignment vertical="center" shrinkToFit="1"/>
    </xf>
    <xf numFmtId="41" fontId="93" fillId="0" borderId="69" xfId="7" applyFont="1" applyFill="1" applyBorder="1" applyAlignment="1">
      <alignment vertical="center" shrinkToFit="1"/>
    </xf>
    <xf numFmtId="41" fontId="92" fillId="0" borderId="69" xfId="7" applyFont="1" applyFill="1" applyBorder="1" applyAlignment="1">
      <alignment shrinkToFit="1"/>
    </xf>
    <xf numFmtId="0" fontId="92" fillId="0" borderId="70" xfId="8" applyFont="1" applyFill="1" applyBorder="1" applyAlignment="1">
      <alignment horizontal="right"/>
    </xf>
    <xf numFmtId="0" fontId="92" fillId="0" borderId="70" xfId="8" applyFont="1" applyFill="1" applyBorder="1" applyAlignment="1"/>
    <xf numFmtId="224" fontId="92" fillId="0" borderId="70" xfId="8" applyNumberFormat="1" applyFont="1" applyFill="1" applyBorder="1" applyAlignment="1">
      <alignment horizontal="right"/>
    </xf>
    <xf numFmtId="227" fontId="92" fillId="0" borderId="71" xfId="8" applyNumberFormat="1" applyFont="1" applyFill="1" applyBorder="1"/>
    <xf numFmtId="41" fontId="92" fillId="0" borderId="66" xfId="7" applyFont="1" applyFill="1" applyBorder="1" applyAlignment="1">
      <alignment shrinkToFit="1"/>
    </xf>
    <xf numFmtId="0" fontId="92" fillId="0" borderId="67" xfId="8" applyFont="1" applyFill="1" applyBorder="1" applyAlignment="1">
      <alignment horizontal="right"/>
    </xf>
    <xf numFmtId="0" fontId="92" fillId="0" borderId="67" xfId="8" applyFont="1" applyFill="1" applyBorder="1" applyAlignment="1"/>
    <xf numFmtId="224" fontId="92" fillId="0" borderId="67" xfId="8" applyNumberFormat="1" applyFont="1" applyFill="1" applyBorder="1" applyAlignment="1">
      <alignment horizontal="right"/>
    </xf>
    <xf numFmtId="227" fontId="92" fillId="0" borderId="68" xfId="8" applyNumberFormat="1" applyFont="1" applyFill="1" applyBorder="1"/>
    <xf numFmtId="41" fontId="92" fillId="0" borderId="72" xfId="7" applyFont="1" applyFill="1" applyBorder="1" applyAlignment="1">
      <alignment shrinkToFit="1"/>
    </xf>
    <xf numFmtId="0" fontId="92" fillId="0" borderId="73" xfId="8" applyFont="1" applyFill="1" applyBorder="1" applyAlignment="1">
      <alignment horizontal="right"/>
    </xf>
    <xf numFmtId="0" fontId="92" fillId="0" borderId="73" xfId="8" applyFont="1" applyFill="1" applyBorder="1" applyAlignment="1"/>
    <xf numFmtId="224" fontId="92" fillId="0" borderId="73" xfId="8" applyNumberFormat="1" applyFont="1" applyFill="1" applyBorder="1" applyAlignment="1">
      <alignment horizontal="right"/>
    </xf>
    <xf numFmtId="227" fontId="92" fillId="0" borderId="74" xfId="8" applyNumberFormat="1" applyFont="1" applyFill="1" applyBorder="1"/>
    <xf numFmtId="41" fontId="86" fillId="0" borderId="72" xfId="7" applyFont="1" applyFill="1" applyBorder="1" applyAlignment="1">
      <alignment horizontal="left" vertical="center" shrinkToFit="1"/>
    </xf>
    <xf numFmtId="177" fontId="92" fillId="0" borderId="73" xfId="17" applyNumberFormat="1" applyFont="1" applyFill="1" applyBorder="1" applyAlignment="1">
      <alignment horizontal="center" vertical="center"/>
    </xf>
    <xf numFmtId="178" fontId="65" fillId="0" borderId="21" xfId="24" applyNumberFormat="1" applyFont="1" applyBorder="1" applyAlignment="1">
      <alignment horizontal="center" vertical="center"/>
    </xf>
    <xf numFmtId="227" fontId="33" fillId="7" borderId="28" xfId="40" applyNumberFormat="1" applyFont="1" applyFill="1" applyBorder="1" applyAlignment="1">
      <alignment horizontal="right" vertical="center"/>
    </xf>
    <xf numFmtId="227" fontId="39" fillId="7" borderId="28" xfId="40" applyNumberFormat="1" applyFont="1" applyFill="1" applyBorder="1" applyAlignment="1">
      <alignment horizontal="right" vertical="center"/>
    </xf>
    <xf numFmtId="0" fontId="64" fillId="0" borderId="31" xfId="3" applyNumberFormat="1" applyFont="1" applyBorder="1">
      <alignment vertical="center"/>
    </xf>
    <xf numFmtId="0" fontId="64" fillId="0" borderId="39" xfId="3" applyNumberFormat="1" applyFont="1" applyBorder="1">
      <alignment vertical="center"/>
    </xf>
    <xf numFmtId="0" fontId="84" fillId="6" borderId="39" xfId="3" applyNumberFormat="1" applyFont="1" applyFill="1" applyBorder="1">
      <alignment vertical="center"/>
    </xf>
    <xf numFmtId="0" fontId="64" fillId="0" borderId="31" xfId="3" applyNumberFormat="1" applyFont="1" applyBorder="1" applyAlignment="1">
      <alignment horizontal="left" vertical="center" wrapText="1" indent="1"/>
    </xf>
    <xf numFmtId="0" fontId="97" fillId="0" borderId="31" xfId="3" applyNumberFormat="1" applyFont="1" applyBorder="1">
      <alignment vertical="center"/>
    </xf>
    <xf numFmtId="0" fontId="97" fillId="0" borderId="31" xfId="3" applyNumberFormat="1" applyFont="1" applyBorder="1" applyAlignment="1">
      <alignment horizontal="left" vertical="center" wrapText="1" indent="1"/>
    </xf>
    <xf numFmtId="0" fontId="64" fillId="0" borderId="11" xfId="3" applyNumberFormat="1" applyFont="1" applyBorder="1" applyAlignment="1">
      <alignment horizontal="left" vertical="center" wrapText="1" indent="1"/>
    </xf>
    <xf numFmtId="0" fontId="7" fillId="0" borderId="31" xfId="3" applyNumberFormat="1" applyFont="1" applyBorder="1">
      <alignment vertical="center"/>
    </xf>
    <xf numFmtId="0" fontId="33" fillId="0" borderId="44" xfId="0" applyFont="1" applyFill="1" applyBorder="1">
      <alignment vertical="center"/>
    </xf>
    <xf numFmtId="0" fontId="33" fillId="0" borderId="31" xfId="0" applyFont="1" applyFill="1" applyBorder="1" applyAlignment="1">
      <alignment horizontal="left" vertical="center" wrapText="1" indent="1"/>
    </xf>
    <xf numFmtId="0" fontId="33" fillId="0" borderId="31" xfId="0" applyFont="1" applyFill="1" applyBorder="1" applyAlignment="1">
      <alignment horizontal="left" vertical="center" indent="1"/>
    </xf>
    <xf numFmtId="0" fontId="65" fillId="4" borderId="39" xfId="24" applyNumberFormat="1" applyFont="1" applyFill="1" applyBorder="1">
      <alignment vertical="center"/>
    </xf>
    <xf numFmtId="0" fontId="68" fillId="0" borderId="31" xfId="24" applyNumberFormat="1" applyFont="1" applyFill="1" applyBorder="1">
      <alignment vertical="center"/>
    </xf>
    <xf numFmtId="0" fontId="68" fillId="0" borderId="31" xfId="24" applyNumberFormat="1" applyFont="1" applyFill="1" applyBorder="1" applyAlignment="1">
      <alignment horizontal="left" vertical="center" wrapText="1" indent="1"/>
    </xf>
    <xf numFmtId="0" fontId="68" fillId="0" borderId="44" xfId="24" applyNumberFormat="1" applyFont="1" applyFill="1" applyBorder="1" applyAlignment="1">
      <alignment horizontal="left" vertical="center" wrapText="1" indent="1"/>
    </xf>
    <xf numFmtId="0" fontId="84" fillId="6" borderId="44" xfId="0" applyFont="1" applyFill="1" applyBorder="1">
      <alignment vertical="center"/>
    </xf>
    <xf numFmtId="0" fontId="33" fillId="0" borderId="24" xfId="0" applyFont="1" applyFill="1" applyBorder="1" applyAlignment="1">
      <alignment horizontal="left" vertical="center" indent="1"/>
    </xf>
    <xf numFmtId="0" fontId="33" fillId="0" borderId="22" xfId="0" applyFont="1" applyFill="1" applyBorder="1" applyAlignment="1">
      <alignment horizontal="left" vertical="center" indent="1"/>
    </xf>
    <xf numFmtId="0" fontId="39" fillId="0" borderId="31" xfId="0" applyFont="1" applyFill="1" applyBorder="1" applyAlignment="1">
      <alignment horizontal="left" vertical="center" indent="1"/>
    </xf>
    <xf numFmtId="0" fontId="39" fillId="0" borderId="29" xfId="3" applyNumberFormat="1" applyFont="1" applyBorder="1">
      <alignment vertical="center"/>
    </xf>
    <xf numFmtId="0" fontId="39" fillId="0" borderId="31" xfId="3" applyNumberFormat="1" applyFont="1" applyBorder="1" applyAlignment="1">
      <alignment horizontal="left" vertical="center" wrapText="1" indent="1"/>
    </xf>
    <xf numFmtId="0" fontId="39" fillId="0" borderId="44" xfId="3" applyNumberFormat="1" applyFont="1" applyBorder="1" applyAlignment="1">
      <alignment horizontal="left" vertical="center" wrapText="1" indent="1"/>
    </xf>
    <xf numFmtId="0" fontId="84" fillId="6" borderId="29" xfId="45" applyFont="1" applyFill="1" applyBorder="1">
      <alignment vertical="center"/>
    </xf>
    <xf numFmtId="0" fontId="66" fillId="6" borderId="39" xfId="24" applyNumberFormat="1" applyFont="1" applyFill="1" applyBorder="1">
      <alignment vertical="center"/>
    </xf>
    <xf numFmtId="0" fontId="33" fillId="7" borderId="27" xfId="0" applyFont="1" applyFill="1" applyBorder="1">
      <alignment vertical="center"/>
    </xf>
    <xf numFmtId="0" fontId="33" fillId="0" borderId="11" xfId="0" applyFont="1" applyFill="1" applyBorder="1">
      <alignment vertical="center"/>
    </xf>
    <xf numFmtId="210" fontId="84" fillId="6" borderId="39" xfId="0" applyNumberFormat="1" applyFont="1" applyFill="1" applyBorder="1">
      <alignment vertical="center"/>
    </xf>
    <xf numFmtId="210" fontId="33" fillId="0" borderId="31" xfId="0" applyNumberFormat="1" applyFont="1" applyFill="1" applyBorder="1">
      <alignment vertical="center"/>
    </xf>
    <xf numFmtId="0" fontId="99" fillId="0" borderId="31" xfId="24" applyNumberFormat="1" applyFont="1" applyFill="1" applyBorder="1" applyAlignment="1">
      <alignment horizontal="left" vertical="center" wrapText="1" indent="1"/>
    </xf>
    <xf numFmtId="210" fontId="33" fillId="0" borderId="44" xfId="0" applyNumberFormat="1" applyFont="1" applyFill="1" applyBorder="1" applyAlignment="1">
      <alignment horizontal="left" vertical="center" wrapText="1" indent="1"/>
    </xf>
    <xf numFmtId="210" fontId="33" fillId="0" borderId="31" xfId="0" applyNumberFormat="1" applyFont="1" applyFill="1" applyBorder="1" applyAlignment="1">
      <alignment horizontal="left" vertical="center" wrapText="1" indent="1"/>
    </xf>
    <xf numFmtId="210" fontId="33" fillId="0" borderId="31" xfId="0" applyNumberFormat="1" applyFont="1" applyFill="1" applyBorder="1" applyAlignment="1">
      <alignment horizontal="left" vertical="center" indent="1"/>
    </xf>
    <xf numFmtId="210" fontId="33" fillId="0" borderId="22" xfId="0" applyNumberFormat="1" applyFont="1" applyFill="1" applyBorder="1" applyAlignment="1">
      <alignment horizontal="left" vertical="center" wrapText="1" indent="1"/>
    </xf>
    <xf numFmtId="0" fontId="65" fillId="0" borderId="31" xfId="24" applyNumberFormat="1" applyFont="1" applyFill="1" applyBorder="1" applyAlignment="1">
      <alignment horizontal="left" vertical="center" wrapText="1" indent="1"/>
    </xf>
    <xf numFmtId="0" fontId="65" fillId="0" borderId="31" xfId="24" applyNumberFormat="1" applyFont="1" applyFill="1" applyBorder="1" applyAlignment="1">
      <alignment horizontal="left" vertical="center" indent="1"/>
    </xf>
    <xf numFmtId="210" fontId="64" fillId="0" borderId="31" xfId="3" applyNumberFormat="1" applyFont="1" applyBorder="1">
      <alignment vertical="center"/>
    </xf>
    <xf numFmtId="0" fontId="65" fillId="0" borderId="11" xfId="24" applyNumberFormat="1" applyFont="1" applyFill="1" applyBorder="1" applyAlignment="1">
      <alignment horizontal="left" vertical="center" wrapText="1" indent="1"/>
    </xf>
    <xf numFmtId="0" fontId="65" fillId="0" borderId="24" xfId="24" applyNumberFormat="1" applyFont="1" applyFill="1" applyBorder="1" applyAlignment="1">
      <alignment horizontal="left" vertical="center" wrapText="1" indent="1"/>
    </xf>
    <xf numFmtId="0" fontId="33" fillId="0" borderId="24" xfId="0" applyFont="1" applyFill="1" applyBorder="1" applyAlignment="1">
      <alignment horizontal="left" vertical="center" wrapText="1" indent="1"/>
    </xf>
    <xf numFmtId="0" fontId="33" fillId="0" borderId="22" xfId="0" applyFont="1" applyFill="1" applyBorder="1" applyAlignment="1">
      <alignment horizontal="left" vertical="center" wrapText="1" indent="1"/>
    </xf>
    <xf numFmtId="0" fontId="65" fillId="0" borderId="22" xfId="24" applyNumberFormat="1" applyFont="1" applyFill="1" applyBorder="1" applyAlignment="1">
      <alignment horizontal="left" vertical="center" wrapText="1" indent="1"/>
    </xf>
    <xf numFmtId="0" fontId="65" fillId="0" borderId="43" xfId="0" applyFont="1" applyFill="1" applyBorder="1">
      <alignment vertical="center"/>
    </xf>
    <xf numFmtId="0" fontId="65" fillId="0" borderId="31" xfId="0" applyFont="1" applyFill="1" applyBorder="1">
      <alignment vertical="center"/>
    </xf>
    <xf numFmtId="0" fontId="65" fillId="0" borderId="31" xfId="0" applyFont="1" applyFill="1" applyBorder="1" applyAlignment="1">
      <alignment horizontal="left" vertical="center" wrapText="1" indent="1"/>
    </xf>
    <xf numFmtId="0" fontId="33" fillId="0" borderId="44" xfId="0" applyFont="1" applyFill="1" applyBorder="1" applyAlignment="1">
      <alignment horizontal="left" vertical="center" wrapText="1" indent="1"/>
    </xf>
    <xf numFmtId="0" fontId="65" fillId="0" borderId="44" xfId="24" applyNumberFormat="1" applyFont="1" applyFill="1" applyBorder="1">
      <alignment vertical="center"/>
    </xf>
    <xf numFmtId="0" fontId="33" fillId="0" borderId="31" xfId="11" applyFont="1" applyFill="1" applyBorder="1">
      <alignment vertical="center"/>
    </xf>
    <xf numFmtId="0" fontId="84" fillId="6" borderId="44" xfId="11" applyFont="1" applyFill="1" applyBorder="1">
      <alignment vertical="center"/>
    </xf>
    <xf numFmtId="0" fontId="33" fillId="0" borderId="31" xfId="11" applyFont="1" applyFill="1" applyBorder="1" applyAlignment="1">
      <alignment horizontal="left" vertical="center" wrapText="1" indent="1"/>
    </xf>
    <xf numFmtId="0" fontId="33" fillId="0" borderId="31" xfId="11" applyFont="1" applyFill="1" applyBorder="1" applyAlignment="1">
      <alignment horizontal="left" vertical="center" indent="1"/>
    </xf>
    <xf numFmtId="0" fontId="33" fillId="0" borderId="44" xfId="11" applyFont="1" applyFill="1" applyBorder="1">
      <alignment vertical="center"/>
    </xf>
    <xf numFmtId="0" fontId="33" fillId="0" borderId="31" xfId="40" applyFont="1" applyFill="1" applyBorder="1">
      <alignment vertical="center"/>
    </xf>
    <xf numFmtId="0" fontId="33" fillId="0" borderId="44" xfId="40" applyFont="1" applyFill="1" applyBorder="1">
      <alignment vertical="center"/>
    </xf>
    <xf numFmtId="0" fontId="33" fillId="0" borderId="31" xfId="40" applyFont="1" applyFill="1" applyBorder="1" applyAlignment="1">
      <alignment horizontal="left" vertical="center" wrapText="1" indent="1"/>
    </xf>
    <xf numFmtId="0" fontId="84" fillId="6" borderId="39" xfId="11" applyFont="1" applyFill="1" applyBorder="1">
      <alignment vertical="center"/>
    </xf>
    <xf numFmtId="0" fontId="33" fillId="0" borderId="44" xfId="11" applyFont="1" applyFill="1" applyBorder="1" applyAlignment="1">
      <alignment horizontal="left" vertical="center" wrapText="1" indent="1"/>
    </xf>
    <xf numFmtId="0" fontId="33" fillId="7" borderId="44" xfId="11" applyFont="1" applyFill="1" applyBorder="1">
      <alignment vertical="center"/>
    </xf>
    <xf numFmtId="0" fontId="33" fillId="0" borderId="24" xfId="11" applyFont="1" applyFill="1" applyBorder="1" applyAlignment="1">
      <alignment horizontal="left" vertical="center" wrapText="1" indent="1"/>
    </xf>
    <xf numFmtId="0" fontId="33" fillId="0" borderId="44" xfId="11" applyFont="1" applyFill="1" applyBorder="1" applyAlignment="1">
      <alignment horizontal="left" vertical="center" indent="1"/>
    </xf>
    <xf numFmtId="0" fontId="33" fillId="0" borderId="43" xfId="11" applyFont="1" applyFill="1" applyBorder="1">
      <alignment vertical="center"/>
    </xf>
    <xf numFmtId="0" fontId="33" fillId="0" borderId="22" xfId="11" applyFont="1" applyFill="1" applyBorder="1" applyAlignment="1">
      <alignment horizontal="left" vertical="center" wrapText="1" indent="1"/>
    </xf>
    <xf numFmtId="0" fontId="33" fillId="0" borderId="11" xfId="11" applyFont="1" applyFill="1" applyBorder="1">
      <alignment vertical="center"/>
    </xf>
    <xf numFmtId="0" fontId="33" fillId="0" borderId="31" xfId="11" applyFont="1" applyBorder="1">
      <alignment vertical="center"/>
    </xf>
    <xf numFmtId="0" fontId="99" fillId="0" borderId="31" xfId="24" applyNumberFormat="1" applyFont="1" applyFill="1" applyBorder="1">
      <alignment vertical="center"/>
    </xf>
    <xf numFmtId="0" fontId="99" fillId="0" borderId="31" xfId="24" applyNumberFormat="1" applyFont="1" applyFill="1" applyBorder="1" applyAlignment="1">
      <alignment horizontal="left" vertical="center" indent="1"/>
    </xf>
    <xf numFmtId="0" fontId="84" fillId="6" borderId="29" xfId="0" applyFont="1" applyFill="1" applyBorder="1">
      <alignment vertical="center"/>
    </xf>
    <xf numFmtId="0" fontId="33" fillId="7" borderId="22" xfId="0" applyFont="1" applyFill="1" applyBorder="1">
      <alignment vertical="center"/>
    </xf>
    <xf numFmtId="0" fontId="97" fillId="0" borderId="24" xfId="0" applyFont="1" applyFill="1" applyBorder="1">
      <alignment vertical="center"/>
    </xf>
    <xf numFmtId="0" fontId="97" fillId="0" borderId="22" xfId="0" applyFont="1" applyFill="1" applyBorder="1">
      <alignment vertical="center"/>
    </xf>
    <xf numFmtId="0" fontId="99" fillId="0" borderId="24" xfId="24" applyNumberFormat="1" applyFont="1" applyFill="1" applyBorder="1" applyAlignment="1">
      <alignment horizontal="left" vertical="center" wrapText="1" indent="1"/>
    </xf>
    <xf numFmtId="0" fontId="99" fillId="0" borderId="22" xfId="24" applyNumberFormat="1" applyFont="1" applyFill="1" applyBorder="1" applyAlignment="1">
      <alignment horizontal="left" vertical="center" wrapText="1" indent="1"/>
    </xf>
    <xf numFmtId="0" fontId="84" fillId="6" borderId="39" xfId="24" applyFont="1" applyFill="1" applyBorder="1">
      <alignment vertical="center"/>
    </xf>
    <xf numFmtId="0" fontId="84" fillId="6" borderId="22" xfId="0" applyFont="1" applyFill="1" applyBorder="1">
      <alignment vertical="center"/>
    </xf>
    <xf numFmtId="0" fontId="99" fillId="0" borderId="44" xfId="24" applyNumberFormat="1" applyFont="1" applyFill="1" applyBorder="1">
      <alignment vertical="center"/>
    </xf>
    <xf numFmtId="0" fontId="99" fillId="0" borderId="24" xfId="24" applyNumberFormat="1" applyFont="1" applyFill="1" applyBorder="1" applyAlignment="1">
      <alignment horizontal="left" vertical="center" indent="1"/>
    </xf>
    <xf numFmtId="0" fontId="99" fillId="0" borderId="24" xfId="24" applyNumberFormat="1" applyFont="1" applyFill="1" applyBorder="1">
      <alignment vertical="center"/>
    </xf>
    <xf numFmtId="0" fontId="99" fillId="0" borderId="22" xfId="24" applyNumberFormat="1" applyFont="1" applyFill="1" applyBorder="1">
      <alignment vertical="center"/>
    </xf>
    <xf numFmtId="0" fontId="99" fillId="0" borderId="22" xfId="24" applyNumberFormat="1" applyFont="1" applyFill="1" applyBorder="1" applyAlignment="1">
      <alignment horizontal="left" vertical="center" indent="1"/>
    </xf>
    <xf numFmtId="0" fontId="39" fillId="0" borderId="44" xfId="0" applyFont="1" applyFill="1" applyBorder="1" applyAlignment="1">
      <alignment horizontal="left" vertical="center" indent="1"/>
    </xf>
    <xf numFmtId="0" fontId="84" fillId="6" borderId="39" xfId="26" applyFont="1" applyFill="1" applyBorder="1">
      <alignment vertical="center"/>
    </xf>
    <xf numFmtId="0" fontId="39" fillId="0" borderId="31" xfId="26" applyFont="1" applyFill="1" applyBorder="1" applyAlignment="1">
      <alignment horizontal="left" vertical="center" indent="1"/>
    </xf>
    <xf numFmtId="0" fontId="39" fillId="0" borderId="31" xfId="26" applyFont="1" applyFill="1" applyBorder="1">
      <alignment vertical="center"/>
    </xf>
    <xf numFmtId="0" fontId="39" fillId="0" borderId="31" xfId="26" applyFont="1" applyFill="1" applyBorder="1" applyAlignment="1">
      <alignment horizontal="left" vertical="center" wrapText="1" indent="1"/>
    </xf>
    <xf numFmtId="0" fontId="65" fillId="0" borderId="24" xfId="24" applyNumberFormat="1" applyFont="1" applyFill="1" applyBorder="1" applyAlignment="1">
      <alignment horizontal="left" vertical="center" indent="1"/>
    </xf>
    <xf numFmtId="0" fontId="65" fillId="0" borderId="22" xfId="24" applyNumberFormat="1" applyFont="1" applyFill="1" applyBorder="1" applyAlignment="1">
      <alignment horizontal="left" vertical="center" indent="1"/>
    </xf>
    <xf numFmtId="0" fontId="39" fillId="0" borderId="31" xfId="0" applyFont="1" applyFill="1" applyBorder="1" applyAlignment="1">
      <alignment horizontal="left" vertical="center" wrapText="1" indent="1"/>
    </xf>
    <xf numFmtId="0" fontId="39" fillId="0" borderId="31" xfId="24" applyFont="1" applyFill="1" applyBorder="1">
      <alignment vertical="center"/>
    </xf>
    <xf numFmtId="0" fontId="33" fillId="0" borderId="44" xfId="0" applyFont="1" applyFill="1" applyBorder="1" applyAlignment="1">
      <alignment horizontal="left" vertical="center" indent="1"/>
    </xf>
    <xf numFmtId="0" fontId="39" fillId="0" borderId="43" xfId="24" applyFont="1" applyFill="1" applyBorder="1">
      <alignment vertical="center"/>
    </xf>
    <xf numFmtId="0" fontId="39" fillId="0" borderId="11" xfId="24" applyFont="1" applyFill="1" applyBorder="1">
      <alignment vertical="center"/>
    </xf>
    <xf numFmtId="0" fontId="97" fillId="0" borderId="31" xfId="0" applyFont="1" applyFill="1" applyBorder="1">
      <alignment vertical="center"/>
    </xf>
    <xf numFmtId="0" fontId="97" fillId="0" borderId="31" xfId="0" applyFont="1" applyFill="1" applyBorder="1" applyAlignment="1">
      <alignment horizontal="left" vertical="center" wrapText="1" indent="1"/>
    </xf>
    <xf numFmtId="0" fontId="39" fillId="0" borderId="44" xfId="0" applyFont="1" applyFill="1" applyBorder="1" applyAlignment="1">
      <alignment horizontal="left" vertical="center" wrapText="1" indent="1"/>
    </xf>
    <xf numFmtId="0" fontId="39" fillId="0" borderId="22" xfId="0" applyFont="1" applyFill="1" applyBorder="1" applyAlignment="1">
      <alignment horizontal="left" vertical="center" wrapText="1" indent="1"/>
    </xf>
    <xf numFmtId="0" fontId="65" fillId="0" borderId="29" xfId="24" applyNumberFormat="1" applyFont="1" applyBorder="1">
      <alignment vertical="center"/>
    </xf>
    <xf numFmtId="0" fontId="65" fillId="0" borderId="31" xfId="24" applyNumberFormat="1" applyFont="1" applyBorder="1" applyAlignment="1">
      <alignment horizontal="left" vertical="center" wrapText="1" indent="1"/>
    </xf>
    <xf numFmtId="0" fontId="98" fillId="3" borderId="39" xfId="24" applyNumberFormat="1" applyFont="1" applyFill="1" applyBorder="1">
      <alignment vertical="center"/>
    </xf>
    <xf numFmtId="0" fontId="55" fillId="0" borderId="31" xfId="26" applyNumberFormat="1" applyFont="1" applyFill="1" applyBorder="1">
      <alignment vertical="center"/>
    </xf>
    <xf numFmtId="0" fontId="55" fillId="0" borderId="31" xfId="26" applyNumberFormat="1" applyFont="1" applyFill="1" applyBorder="1" applyAlignment="1">
      <alignment horizontal="left" vertical="center" wrapText="1" indent="1"/>
    </xf>
    <xf numFmtId="0" fontId="64" fillId="0" borderId="29" xfId="3" applyNumberFormat="1" applyFont="1" applyBorder="1">
      <alignment vertical="center"/>
    </xf>
    <xf numFmtId="0" fontId="84" fillId="6" borderId="43" xfId="3" applyNumberFormat="1" applyFont="1" applyFill="1" applyBorder="1">
      <alignment vertical="center"/>
    </xf>
    <xf numFmtId="0" fontId="84" fillId="0" borderId="31" xfId="3" applyNumberFormat="1" applyFont="1" applyFill="1" applyBorder="1">
      <alignment vertical="center"/>
    </xf>
    <xf numFmtId="0" fontId="84" fillId="6" borderId="131" xfId="0" applyFont="1" applyFill="1" applyBorder="1">
      <alignment vertical="center"/>
    </xf>
    <xf numFmtId="0" fontId="39" fillId="0" borderId="43" xfId="0" applyFont="1" applyFill="1" applyBorder="1" applyAlignment="1">
      <alignment horizontal="left" vertical="center" wrapText="1" indent="1"/>
    </xf>
    <xf numFmtId="0" fontId="65" fillId="0" borderId="31" xfId="24" applyNumberFormat="1" applyFont="1" applyBorder="1">
      <alignment vertical="center"/>
    </xf>
    <xf numFmtId="0" fontId="39" fillId="0" borderId="31" xfId="3" applyNumberFormat="1" applyFont="1" applyBorder="1">
      <alignment vertical="center"/>
    </xf>
    <xf numFmtId="0" fontId="39" fillId="0" borderId="24" xfId="0" applyFont="1" applyFill="1" applyBorder="1" applyAlignment="1">
      <alignment horizontal="left" vertical="center" wrapText="1" indent="1"/>
    </xf>
    <xf numFmtId="0" fontId="39" fillId="0" borderId="24" xfId="0" applyFont="1" applyFill="1" applyBorder="1" applyAlignment="1">
      <alignment horizontal="left" vertical="center" indent="1"/>
    </xf>
    <xf numFmtId="0" fontId="39" fillId="0" borderId="22" xfId="0" applyFont="1" applyFill="1" applyBorder="1" applyAlignment="1">
      <alignment horizontal="left" vertical="center" indent="1"/>
    </xf>
    <xf numFmtId="0" fontId="97" fillId="0" borderId="31" xfId="0" applyFont="1" applyFill="1" applyBorder="1" applyAlignment="1">
      <alignment horizontal="left" vertical="center" indent="1"/>
    </xf>
    <xf numFmtId="0" fontId="39" fillId="0" borderId="31" xfId="24" applyFont="1" applyFill="1" applyBorder="1" applyAlignment="1">
      <alignment horizontal="left" vertical="center" wrapText="1" indent="1"/>
    </xf>
    <xf numFmtId="0" fontId="65" fillId="0" borderId="24" xfId="24" applyNumberFormat="1" applyFont="1" applyBorder="1">
      <alignment vertical="center"/>
    </xf>
    <xf numFmtId="0" fontId="65" fillId="0" borderId="44" xfId="24" applyNumberFormat="1" applyFont="1" applyBorder="1">
      <alignment vertical="center"/>
    </xf>
    <xf numFmtId="0" fontId="64" fillId="0" borderId="31" xfId="3" applyNumberFormat="1" applyFont="1" applyFill="1" applyBorder="1">
      <alignment vertical="center"/>
    </xf>
    <xf numFmtId="0" fontId="96" fillId="3" borderId="39" xfId="3" applyNumberFormat="1" applyFont="1" applyFill="1" applyBorder="1">
      <alignment vertical="center"/>
    </xf>
    <xf numFmtId="0" fontId="64" fillId="0" borderId="31" xfId="3" applyNumberFormat="1" applyFont="1" applyFill="1" applyBorder="1" applyAlignment="1">
      <alignment horizontal="left" vertical="center" wrapText="1" indent="1"/>
    </xf>
    <xf numFmtId="0" fontId="64" fillId="0" borderId="31" xfId="3" applyNumberFormat="1" applyFont="1" applyFill="1" applyBorder="1" applyAlignment="1">
      <alignment horizontal="left" vertical="center" indent="1"/>
    </xf>
    <xf numFmtId="0" fontId="64" fillId="0" borderId="44" xfId="3" applyNumberFormat="1" applyFont="1" applyFill="1" applyBorder="1" applyAlignment="1">
      <alignment horizontal="left" vertical="center" wrapText="1" indent="1"/>
    </xf>
    <xf numFmtId="0" fontId="64" fillId="0" borderId="44" xfId="3" applyNumberFormat="1" applyFont="1" applyFill="1" applyBorder="1" applyAlignment="1">
      <alignment horizontal="left" vertical="center" indent="1"/>
    </xf>
    <xf numFmtId="0" fontId="64" fillId="0" borderId="31" xfId="24" applyNumberFormat="1" applyFont="1" applyFill="1" applyBorder="1">
      <alignment vertical="center"/>
    </xf>
    <xf numFmtId="0" fontId="64" fillId="0" borderId="31" xfId="24" applyNumberFormat="1" applyFont="1" applyFill="1" applyBorder="1" applyAlignment="1">
      <alignment horizontal="left" vertical="center" wrapText="1" indent="1"/>
    </xf>
    <xf numFmtId="0" fontId="64" fillId="0" borderId="22" xfId="3" applyNumberFormat="1" applyFont="1" applyFill="1" applyBorder="1" applyAlignment="1">
      <alignment horizontal="left" vertical="center" wrapText="1" indent="1"/>
    </xf>
    <xf numFmtId="0" fontId="64" fillId="0" borderId="31" xfId="3" applyNumberFormat="1" applyFont="1" applyBorder="1" applyAlignment="1">
      <alignment horizontal="left" vertical="center" indent="1"/>
    </xf>
    <xf numFmtId="0" fontId="64" fillId="0" borderId="24" xfId="3" applyNumberFormat="1" applyFont="1" applyFill="1" applyBorder="1" applyAlignment="1">
      <alignment horizontal="left" vertical="center" wrapText="1" indent="1"/>
    </xf>
    <xf numFmtId="0" fontId="33" fillId="0" borderId="31" xfId="3" applyFont="1" applyFill="1" applyBorder="1">
      <alignment vertical="center"/>
    </xf>
    <xf numFmtId="0" fontId="33" fillId="0" borderId="31" xfId="3" applyFont="1" applyFill="1" applyBorder="1" applyAlignment="1">
      <alignment horizontal="left" vertical="center" indent="1"/>
    </xf>
    <xf numFmtId="0" fontId="33" fillId="0" borderId="24" xfId="3" applyFont="1" applyFill="1" applyBorder="1" applyAlignment="1">
      <alignment horizontal="left" vertical="center" indent="1"/>
    </xf>
    <xf numFmtId="0" fontId="33" fillId="0" borderId="22" xfId="3" applyFont="1" applyFill="1" applyBorder="1" applyAlignment="1">
      <alignment horizontal="left" vertical="center" indent="1"/>
    </xf>
    <xf numFmtId="0" fontId="33" fillId="0" borderId="31" xfId="3" applyFont="1" applyFill="1" applyBorder="1" applyAlignment="1">
      <alignment horizontal="left" vertical="center" wrapText="1" indent="1"/>
    </xf>
    <xf numFmtId="0" fontId="33" fillId="0" borderId="24" xfId="3" applyFont="1" applyFill="1" applyBorder="1" applyAlignment="1">
      <alignment horizontal="left" vertical="center" wrapText="1" indent="1"/>
    </xf>
    <xf numFmtId="0" fontId="33" fillId="0" borderId="44" xfId="3" applyFont="1" applyFill="1" applyBorder="1" applyAlignment="1">
      <alignment horizontal="left" vertical="center" wrapText="1" indent="1"/>
    </xf>
    <xf numFmtId="0" fontId="65" fillId="0" borderId="31" xfId="30" applyNumberFormat="1" applyFont="1" applyFill="1" applyBorder="1" applyAlignment="1">
      <alignment horizontal="left" vertical="center" indent="1"/>
    </xf>
    <xf numFmtId="0" fontId="65" fillId="0" borderId="31" xfId="30" applyNumberFormat="1" applyFont="1" applyFill="1" applyBorder="1">
      <alignment vertical="center"/>
    </xf>
    <xf numFmtId="0" fontId="65" fillId="0" borderId="44" xfId="30" applyNumberFormat="1" applyFont="1" applyFill="1" applyBorder="1" applyAlignment="1">
      <alignment horizontal="left" vertical="center" wrapText="1" indent="1"/>
    </xf>
    <xf numFmtId="0" fontId="84" fillId="6" borderId="44" xfId="3" applyNumberFormat="1" applyFont="1" applyFill="1" applyBorder="1">
      <alignment vertical="center"/>
    </xf>
    <xf numFmtId="0" fontId="64" fillId="7" borderId="31" xfId="3" applyNumberFormat="1" applyFont="1" applyFill="1" applyBorder="1">
      <alignment vertical="center"/>
    </xf>
    <xf numFmtId="0" fontId="64" fillId="0" borderId="11" xfId="3" applyNumberFormat="1" applyFont="1" applyFill="1" applyBorder="1" applyAlignment="1">
      <alignment horizontal="left" vertical="center" wrapText="1" indent="1"/>
    </xf>
    <xf numFmtId="0" fontId="33" fillId="0" borderId="31" xfId="0" applyFont="1" applyBorder="1">
      <alignment vertical="center"/>
    </xf>
    <xf numFmtId="210" fontId="33" fillId="0" borderId="31" xfId="0" applyNumberFormat="1" applyFont="1" applyBorder="1">
      <alignment vertical="center"/>
    </xf>
    <xf numFmtId="0" fontId="33" fillId="0" borderId="31" xfId="0" applyFont="1" applyBorder="1" applyAlignment="1">
      <alignment horizontal="left" vertical="center" wrapText="1" indent="1"/>
    </xf>
    <xf numFmtId="0" fontId="33" fillId="0" borderId="29" xfId="0" applyFont="1" applyBorder="1">
      <alignment vertical="center"/>
    </xf>
    <xf numFmtId="0" fontId="33" fillId="0" borderId="12" xfId="0" applyFont="1" applyBorder="1" applyAlignment="1">
      <alignment horizontal="left" vertical="center" wrapText="1" indent="1"/>
    </xf>
    <xf numFmtId="0" fontId="65" fillId="0" borderId="11" xfId="24" applyNumberFormat="1" applyFont="1" applyBorder="1" applyAlignment="1">
      <alignment horizontal="left" vertical="center" wrapText="1" indent="1"/>
    </xf>
    <xf numFmtId="0" fontId="65" fillId="0" borderId="31" xfId="3" applyNumberFormat="1" applyFont="1" applyBorder="1">
      <alignment vertical="center"/>
    </xf>
    <xf numFmtId="0" fontId="66" fillId="6" borderId="39" xfId="3" applyNumberFormat="1" applyFont="1" applyFill="1" applyBorder="1">
      <alignment vertical="center"/>
    </xf>
    <xf numFmtId="0" fontId="65" fillId="0" borderId="31" xfId="3" applyNumberFormat="1" applyFont="1" applyBorder="1" applyAlignment="1">
      <alignment horizontal="left" vertical="center" wrapText="1" indent="1"/>
    </xf>
    <xf numFmtId="0" fontId="65" fillId="0" borderId="29" xfId="3" applyNumberFormat="1" applyFont="1" applyBorder="1">
      <alignment vertical="center"/>
    </xf>
    <xf numFmtId="0" fontId="39" fillId="0" borderId="39" xfId="0" applyFont="1" applyBorder="1">
      <alignment vertical="center"/>
    </xf>
    <xf numFmtId="0" fontId="2" fillId="0" borderId="31" xfId="3" applyNumberFormat="1" applyFont="1" applyBorder="1">
      <alignment vertical="center"/>
    </xf>
    <xf numFmtId="0" fontId="65" fillId="0" borderId="31" xfId="24" applyNumberFormat="1" applyFont="1" applyBorder="1" applyAlignment="1">
      <alignment horizontal="left" vertical="center" wrapText="1" indent="2"/>
    </xf>
    <xf numFmtId="0" fontId="65" fillId="0" borderId="44" xfId="24" applyNumberFormat="1" applyFont="1" applyBorder="1" applyAlignment="1">
      <alignment horizontal="left" vertical="center" wrapText="1" indent="2"/>
    </xf>
    <xf numFmtId="0" fontId="65" fillId="0" borderId="24" xfId="24" applyNumberFormat="1" applyFont="1" applyBorder="1" applyAlignment="1">
      <alignment horizontal="left" vertical="center" wrapText="1" indent="1"/>
    </xf>
    <xf numFmtId="0" fontId="65" fillId="0" borderId="22" xfId="24" applyNumberFormat="1" applyFont="1" applyBorder="1" applyAlignment="1">
      <alignment horizontal="left" vertical="center" wrapText="1" indent="1"/>
    </xf>
    <xf numFmtId="0" fontId="97" fillId="0" borderId="31" xfId="0" applyFont="1" applyBorder="1">
      <alignment vertical="center"/>
    </xf>
    <xf numFmtId="0" fontId="97" fillId="0" borderId="31" xfId="0" applyFont="1" applyBorder="1" applyAlignment="1">
      <alignment horizontal="left" vertical="center" wrapText="1" indent="1"/>
    </xf>
    <xf numFmtId="0" fontId="97" fillId="0" borderId="44" xfId="0" applyFont="1" applyBorder="1" applyAlignment="1">
      <alignment horizontal="left" vertical="center" wrapText="1" indent="1"/>
    </xf>
    <xf numFmtId="0" fontId="39" fillId="0" borderId="29" xfId="26" applyFont="1" applyBorder="1">
      <alignment vertical="center"/>
    </xf>
    <xf numFmtId="0" fontId="39" fillId="0" borderId="24" xfId="26" applyFont="1" applyBorder="1">
      <alignment vertical="center"/>
    </xf>
    <xf numFmtId="0" fontId="39" fillId="0" borderId="22" xfId="26" applyFont="1" applyBorder="1">
      <alignment vertical="center"/>
    </xf>
    <xf numFmtId="0" fontId="33" fillId="0" borderId="44" xfId="0" applyFont="1" applyBorder="1" applyAlignment="1">
      <alignment horizontal="left" vertical="center" wrapText="1" indent="1"/>
    </xf>
    <xf numFmtId="0" fontId="33" fillId="0" borderId="22" xfId="0" applyFont="1" applyBorder="1" applyAlignment="1">
      <alignment horizontal="left" vertical="center" wrapText="1" indent="1"/>
    </xf>
    <xf numFmtId="0" fontId="97" fillId="0" borderId="29" xfId="0" applyFont="1" applyBorder="1">
      <alignment vertical="center"/>
    </xf>
    <xf numFmtId="0" fontId="97" fillId="0" borderId="24" xfId="0" applyFont="1" applyBorder="1" applyAlignment="1">
      <alignment horizontal="left" vertical="center" wrapText="1" indent="1"/>
    </xf>
    <xf numFmtId="0" fontId="97" fillId="0" borderId="22" xfId="0" applyFont="1" applyBorder="1" applyAlignment="1">
      <alignment horizontal="left" vertical="center" wrapText="1" indent="1"/>
    </xf>
    <xf numFmtId="0" fontId="33" fillId="0" borderId="22" xfId="0" applyFont="1" applyBorder="1">
      <alignment vertical="center"/>
    </xf>
    <xf numFmtId="0" fontId="97" fillId="0" borderId="31" xfId="26" applyFont="1" applyBorder="1">
      <alignment vertical="center"/>
    </xf>
    <xf numFmtId="0" fontId="97" fillId="0" borderId="11" xfId="26" applyFont="1" applyBorder="1">
      <alignment vertical="center"/>
    </xf>
    <xf numFmtId="0" fontId="33" fillId="0" borderId="31" xfId="26" applyFont="1" applyBorder="1">
      <alignment vertical="center"/>
    </xf>
    <xf numFmtId="0" fontId="27" fillId="0" borderId="31" xfId="0" applyFont="1" applyBorder="1">
      <alignment vertical="center"/>
    </xf>
    <xf numFmtId="0" fontId="39" fillId="0" borderId="31" xfId="0" applyFont="1" applyBorder="1">
      <alignment vertical="center"/>
    </xf>
    <xf numFmtId="0" fontId="39" fillId="0" borderId="31" xfId="0" applyFont="1" applyBorder="1" applyAlignment="1">
      <alignment horizontal="left" vertical="center" wrapText="1" indent="1"/>
    </xf>
    <xf numFmtId="0" fontId="19" fillId="0" borderId="31" xfId="0" applyFont="1" applyFill="1" applyBorder="1">
      <alignment vertical="center"/>
    </xf>
    <xf numFmtId="0" fontId="19" fillId="0" borderId="11" xfId="0" applyFont="1" applyFill="1" applyBorder="1" applyAlignment="1">
      <alignment horizontal="left" vertical="center" wrapText="1" indent="1"/>
    </xf>
    <xf numFmtId="0" fontId="19" fillId="0" borderId="31" xfId="0" applyFont="1" applyBorder="1">
      <alignment vertical="center"/>
    </xf>
    <xf numFmtId="0" fontId="33" fillId="0" borderId="11" xfId="0" applyFont="1" applyBorder="1" applyAlignment="1">
      <alignment horizontal="left" vertical="center" wrapText="1" indent="1"/>
    </xf>
    <xf numFmtId="0" fontId="9" fillId="0" borderId="31" xfId="0" applyFont="1" applyBorder="1">
      <alignment vertical="center"/>
    </xf>
    <xf numFmtId="0" fontId="39" fillId="0" borderId="44" xfId="0" applyFont="1" applyBorder="1">
      <alignment vertical="center"/>
    </xf>
    <xf numFmtId="0" fontId="15" fillId="0" borderId="31" xfId="0" applyFont="1" applyBorder="1">
      <alignment vertical="center"/>
    </xf>
    <xf numFmtId="0" fontId="15" fillId="0" borderId="11" xfId="0" applyFont="1" applyBorder="1" applyAlignment="1">
      <alignment horizontal="left" vertical="center" wrapText="1" indent="1"/>
    </xf>
    <xf numFmtId="0" fontId="39" fillId="0" borderId="44" xfId="0" applyFont="1" applyBorder="1" applyAlignment="1">
      <alignment horizontal="left" vertical="center" wrapText="1" indent="1"/>
    </xf>
    <xf numFmtId="0" fontId="39" fillId="0" borderId="29" xfId="0" applyFont="1" applyBorder="1">
      <alignment vertical="center"/>
    </xf>
    <xf numFmtId="0" fontId="39" fillId="0" borderId="24" xfId="0" applyFont="1" applyBorder="1">
      <alignment vertical="center"/>
    </xf>
    <xf numFmtId="0" fontId="39" fillId="0" borderId="24" xfId="0" applyFont="1" applyBorder="1" applyAlignment="1">
      <alignment horizontal="left" vertical="center" wrapText="1" indent="1"/>
    </xf>
    <xf numFmtId="0" fontId="39" fillId="0" borderId="22" xfId="0" applyFont="1" applyBorder="1" applyAlignment="1">
      <alignment horizontal="left" vertical="center" wrapText="1" indent="1"/>
    </xf>
    <xf numFmtId="0" fontId="39" fillId="0" borderId="11" xfId="0" applyFont="1" applyBorder="1" applyAlignment="1">
      <alignment horizontal="left" vertical="center" wrapText="1" indent="1"/>
    </xf>
    <xf numFmtId="0" fontId="7" fillId="0" borderId="0" xfId="3" applyNumberFormat="1" applyFont="1" applyBorder="1" applyAlignment="1">
      <alignment horizontal="center" vertical="center"/>
    </xf>
    <xf numFmtId="0" fontId="2" fillId="0" borderId="0" xfId="3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33" fillId="22" borderId="41" xfId="24" applyNumberFormat="1" applyFont="1" applyFill="1" applyBorder="1">
      <alignment vertical="center"/>
    </xf>
    <xf numFmtId="41" fontId="33" fillId="22" borderId="37" xfId="25" applyNumberFormat="1" applyFont="1" applyFill="1" applyBorder="1" applyAlignment="1">
      <alignment vertical="center" wrapText="1"/>
    </xf>
    <xf numFmtId="0" fontId="33" fillId="22" borderId="37" xfId="24" applyNumberFormat="1" applyFont="1" applyFill="1" applyBorder="1">
      <alignment vertical="center"/>
    </xf>
    <xf numFmtId="186" fontId="33" fillId="22" borderId="37" xfId="24" applyNumberFormat="1" applyFont="1" applyFill="1" applyBorder="1" applyAlignment="1">
      <alignment horizontal="center" vertical="center" shrinkToFit="1"/>
    </xf>
    <xf numFmtId="182" fontId="33" fillId="22" borderId="37" xfId="24" applyNumberFormat="1" applyFont="1" applyFill="1" applyBorder="1">
      <alignment vertical="center"/>
    </xf>
    <xf numFmtId="182" fontId="33" fillId="22" borderId="37" xfId="24" applyNumberFormat="1" applyFont="1" applyFill="1" applyBorder="1" applyAlignment="1">
      <alignment vertical="center"/>
    </xf>
    <xf numFmtId="0" fontId="33" fillId="22" borderId="37" xfId="24" applyNumberFormat="1" applyFont="1" applyFill="1" applyBorder="1" applyAlignment="1">
      <alignment horizontal="center" vertical="center"/>
    </xf>
    <xf numFmtId="178" fontId="33" fillId="22" borderId="37" xfId="24" applyNumberFormat="1" applyFont="1" applyFill="1" applyBorder="1">
      <alignment vertical="center"/>
    </xf>
    <xf numFmtId="224" fontId="64" fillId="22" borderId="29" xfId="25" applyNumberFormat="1" applyFont="1" applyFill="1" applyBorder="1" applyAlignment="1">
      <alignment horizontal="right" vertical="center"/>
    </xf>
    <xf numFmtId="227" fontId="64" fillId="22" borderId="38" xfId="2" applyNumberFormat="1" applyFont="1" applyFill="1" applyBorder="1" applyAlignment="1">
      <alignment horizontal="right" vertical="center"/>
    </xf>
    <xf numFmtId="49" fontId="64" fillId="0" borderId="20" xfId="24" applyNumberFormat="1" applyFont="1" applyFill="1" applyBorder="1" applyAlignment="1">
      <alignment horizontal="left" vertical="center" wrapText="1" indent="1"/>
    </xf>
    <xf numFmtId="181" fontId="64" fillId="0" borderId="21" xfId="24" applyNumberFormat="1" applyFont="1" applyFill="1" applyBorder="1" applyAlignment="1">
      <alignment horizontal="right" vertical="center" shrinkToFit="1"/>
    </xf>
    <xf numFmtId="187" fontId="64" fillId="0" borderId="21" xfId="24" applyNumberFormat="1" applyFont="1" applyFill="1" applyBorder="1">
      <alignment vertical="center"/>
    </xf>
    <xf numFmtId="227" fontId="64" fillId="0" borderId="23" xfId="2" applyNumberFormat="1" applyFont="1" applyFill="1" applyBorder="1" applyAlignment="1">
      <alignment horizontal="right" vertical="center"/>
    </xf>
    <xf numFmtId="49" fontId="64" fillId="22" borderId="21" xfId="24" applyNumberFormat="1" applyFont="1" applyFill="1" applyBorder="1">
      <alignment vertical="center"/>
    </xf>
    <xf numFmtId="41" fontId="64" fillId="22" borderId="21" xfId="25" applyNumberFormat="1" applyFont="1" applyFill="1" applyBorder="1">
      <alignment vertical="center"/>
    </xf>
    <xf numFmtId="0" fontId="64" fillId="22" borderId="21" xfId="24" applyNumberFormat="1" applyFont="1" applyFill="1" applyBorder="1">
      <alignment vertical="center"/>
    </xf>
    <xf numFmtId="181" fontId="64" fillId="22" borderId="21" xfId="24" applyNumberFormat="1" applyFont="1" applyFill="1" applyBorder="1" applyAlignment="1" applyProtection="1">
      <alignment vertical="center"/>
    </xf>
    <xf numFmtId="182" fontId="64" fillId="22" borderId="21" xfId="24" applyNumberFormat="1" applyFont="1" applyFill="1" applyBorder="1" applyAlignment="1">
      <alignment vertical="center"/>
    </xf>
    <xf numFmtId="182" fontId="64" fillId="22" borderId="21" xfId="24" applyNumberFormat="1" applyFont="1" applyFill="1" applyBorder="1">
      <alignment vertical="center"/>
    </xf>
    <xf numFmtId="0" fontId="64" fillId="22" borderId="21" xfId="24" applyNumberFormat="1" applyFont="1" applyFill="1" applyBorder="1" applyAlignment="1">
      <alignment horizontal="center" vertical="center"/>
    </xf>
    <xf numFmtId="178" fontId="64" fillId="22" borderId="21" xfId="24" applyNumberFormat="1" applyFont="1" applyFill="1" applyBorder="1">
      <alignment vertical="center"/>
    </xf>
    <xf numFmtId="0" fontId="65" fillId="0" borderId="21" xfId="30" applyNumberFormat="1" applyFont="1" applyFill="1" applyBorder="1">
      <alignment vertical="center"/>
    </xf>
    <xf numFmtId="215" fontId="65" fillId="0" borderId="21" xfId="30" applyNumberFormat="1" applyFont="1" applyFill="1" applyBorder="1" applyAlignment="1">
      <alignment horizontal="right" vertical="center"/>
    </xf>
    <xf numFmtId="182" fontId="65" fillId="0" borderId="21" xfId="30" applyNumberFormat="1" applyFont="1" applyFill="1" applyBorder="1" applyAlignment="1">
      <alignment horizontal="right" vertical="center"/>
    </xf>
    <xf numFmtId="182" fontId="65" fillId="0" borderId="21" xfId="30" applyNumberFormat="1" applyFont="1" applyFill="1" applyBorder="1" applyAlignment="1">
      <alignment vertical="center"/>
    </xf>
    <xf numFmtId="182" fontId="65" fillId="0" borderId="21" xfId="30" applyNumberFormat="1" applyFont="1" applyFill="1" applyBorder="1">
      <alignment vertical="center"/>
    </xf>
    <xf numFmtId="0" fontId="65" fillId="0" borderId="21" xfId="30" applyNumberFormat="1" applyFont="1" applyFill="1" applyBorder="1" applyAlignment="1">
      <alignment horizontal="center" vertical="center"/>
    </xf>
    <xf numFmtId="49" fontId="65" fillId="0" borderId="21" xfId="30" applyNumberFormat="1" applyFont="1" applyFill="1" applyBorder="1" applyAlignment="1">
      <alignment horizontal="center" vertical="center"/>
    </xf>
    <xf numFmtId="206" fontId="55" fillId="0" borderId="21" xfId="26" applyNumberFormat="1" applyFont="1" applyFill="1" applyBorder="1">
      <alignment vertical="center"/>
    </xf>
    <xf numFmtId="227" fontId="65" fillId="0" borderId="23" xfId="30" applyNumberFormat="1" applyFont="1" applyFill="1" applyBorder="1" applyAlignment="1">
      <alignment horizontal="right" vertical="center"/>
    </xf>
    <xf numFmtId="0" fontId="84" fillId="6" borderId="36" xfId="3" applyNumberFormat="1" applyFont="1" applyFill="1" applyBorder="1">
      <alignment vertical="center"/>
    </xf>
    <xf numFmtId="0" fontId="84" fillId="6" borderId="31" xfId="3" applyNumberFormat="1" applyFont="1" applyFill="1" applyBorder="1">
      <alignment vertical="center"/>
    </xf>
    <xf numFmtId="0" fontId="84" fillId="6" borderId="0" xfId="3" applyNumberFormat="1" applyFont="1" applyFill="1" applyBorder="1">
      <alignment vertical="center"/>
    </xf>
    <xf numFmtId="41" fontId="84" fillId="6" borderId="0" xfId="4" applyNumberFormat="1" applyFont="1" applyFill="1" applyBorder="1">
      <alignment vertical="center"/>
    </xf>
    <xf numFmtId="0" fontId="84" fillId="6" borderId="0" xfId="3" applyNumberFormat="1" applyFont="1" applyFill="1" applyBorder="1" applyAlignment="1">
      <alignment vertical="center"/>
    </xf>
    <xf numFmtId="0" fontId="84" fillId="6" borderId="0" xfId="3" applyNumberFormat="1" applyFont="1" applyFill="1" applyBorder="1" applyAlignment="1">
      <alignment horizontal="center" vertical="center"/>
    </xf>
    <xf numFmtId="176" fontId="84" fillId="6" borderId="24" xfId="4" applyNumberFormat="1" applyFont="1" applyFill="1" applyBorder="1" applyAlignment="1">
      <alignment horizontal="right" vertical="center"/>
    </xf>
    <xf numFmtId="224" fontId="84" fillId="6" borderId="24" xfId="4" applyNumberFormat="1" applyFont="1" applyFill="1" applyBorder="1" applyAlignment="1">
      <alignment horizontal="right" vertical="center"/>
    </xf>
    <xf numFmtId="227" fontId="84" fillId="6" borderId="30" xfId="3" applyNumberFormat="1" applyFont="1" applyFill="1" applyBorder="1" applyAlignment="1">
      <alignment horizontal="right" vertical="center"/>
    </xf>
    <xf numFmtId="0" fontId="64" fillId="0" borderId="124" xfId="3" applyNumberFormat="1" applyFont="1" applyFill="1" applyBorder="1">
      <alignment vertical="center"/>
    </xf>
    <xf numFmtId="178" fontId="39" fillId="22" borderId="21" xfId="26" applyNumberFormat="1" applyFont="1" applyFill="1" applyBorder="1">
      <alignment vertical="center"/>
    </xf>
    <xf numFmtId="176" fontId="39" fillId="22" borderId="44" xfId="27" applyNumberFormat="1" applyFont="1" applyFill="1" applyBorder="1" applyAlignment="1">
      <alignment horizontal="right" vertical="center"/>
    </xf>
    <xf numFmtId="224" fontId="39" fillId="22" borderId="22" xfId="27" applyNumberFormat="1" applyFont="1" applyFill="1" applyBorder="1" applyAlignment="1">
      <alignment horizontal="right" vertical="center"/>
    </xf>
    <xf numFmtId="227" fontId="39" fillId="22" borderId="23" xfId="26" applyNumberFormat="1" applyFont="1" applyFill="1" applyBorder="1" applyAlignment="1">
      <alignment horizontal="right" vertical="center"/>
    </xf>
    <xf numFmtId="49" fontId="39" fillId="22" borderId="20" xfId="26" applyNumberFormat="1" applyFont="1" applyFill="1" applyBorder="1">
      <alignment vertical="center"/>
    </xf>
    <xf numFmtId="0" fontId="65" fillId="0" borderId="44" xfId="24" applyNumberFormat="1" applyFont="1" applyFill="1" applyBorder="1" applyAlignment="1">
      <alignment horizontal="left" vertical="center" wrapText="1" indent="1"/>
    </xf>
    <xf numFmtId="0" fontId="97" fillId="0" borderId="44" xfId="0" applyFont="1" applyFill="1" applyBorder="1">
      <alignment vertical="center"/>
    </xf>
    <xf numFmtId="0" fontId="97" fillId="22" borderId="21" xfId="0" applyFont="1" applyFill="1" applyBorder="1">
      <alignment vertical="center"/>
    </xf>
    <xf numFmtId="0" fontId="97" fillId="22" borderId="21" xfId="0" applyFont="1" applyFill="1" applyBorder="1" applyAlignment="1">
      <alignment horizontal="center" vertical="center"/>
    </xf>
    <xf numFmtId="176" fontId="39" fillId="22" borderId="22" xfId="1" applyNumberFormat="1" applyFont="1" applyFill="1" applyBorder="1" applyAlignment="1">
      <alignment horizontal="right" vertical="center"/>
    </xf>
    <xf numFmtId="227" fontId="65" fillId="22" borderId="23" xfId="24" applyNumberFormat="1" applyFont="1" applyFill="1" applyBorder="1" applyAlignment="1">
      <alignment horizontal="right" vertical="center"/>
    </xf>
    <xf numFmtId="41" fontId="68" fillId="22" borderId="21" xfId="25" applyNumberFormat="1" applyFont="1" applyFill="1" applyBorder="1" applyAlignment="1">
      <alignment vertical="center" wrapText="1"/>
    </xf>
    <xf numFmtId="187" fontId="68" fillId="22" borderId="21" xfId="24" applyNumberFormat="1" applyFont="1" applyFill="1" applyBorder="1">
      <alignment vertical="center"/>
    </xf>
    <xf numFmtId="182" fontId="68" fillId="22" borderId="21" xfId="24" applyNumberFormat="1" applyFont="1" applyFill="1" applyBorder="1">
      <alignment vertical="center"/>
    </xf>
    <xf numFmtId="182" fontId="68" fillId="22" borderId="21" xfId="24" applyNumberFormat="1" applyFont="1" applyFill="1" applyBorder="1" applyAlignment="1">
      <alignment vertical="center"/>
    </xf>
    <xf numFmtId="210" fontId="64" fillId="0" borderId="29" xfId="3" applyNumberFormat="1" applyFont="1" applyBorder="1">
      <alignment vertical="center"/>
    </xf>
    <xf numFmtId="210" fontId="64" fillId="0" borderId="35" xfId="3" applyNumberFormat="1" applyFont="1" applyFill="1" applyBorder="1">
      <alignment vertical="center"/>
    </xf>
    <xf numFmtId="210" fontId="64" fillId="0" borderId="21" xfId="3" applyNumberFormat="1" applyFont="1" applyFill="1" applyBorder="1">
      <alignment vertical="center"/>
    </xf>
    <xf numFmtId="210" fontId="64" fillId="0" borderId="44" xfId="3" applyNumberFormat="1" applyFont="1" applyBorder="1">
      <alignment vertical="center"/>
    </xf>
    <xf numFmtId="49" fontId="55" fillId="0" borderId="21" xfId="24" applyNumberFormat="1" applyFont="1" applyBorder="1" applyAlignment="1">
      <alignment horizontal="left" vertical="center" wrapText="1" indent="1"/>
    </xf>
    <xf numFmtId="180" fontId="55" fillId="0" borderId="21" xfId="24" applyNumberFormat="1" applyFont="1" applyFill="1" applyBorder="1" applyAlignment="1" applyProtection="1">
      <alignment vertical="center"/>
    </xf>
    <xf numFmtId="49" fontId="65" fillId="0" borderId="36" xfId="30" applyNumberFormat="1" applyFont="1" applyFill="1" applyBorder="1">
      <alignment vertical="center"/>
    </xf>
    <xf numFmtId="0" fontId="65" fillId="0" borderId="44" xfId="24" applyNumberFormat="1" applyFont="1" applyFill="1" applyBorder="1" applyAlignment="1">
      <alignment horizontal="left" vertical="center" indent="1"/>
    </xf>
    <xf numFmtId="0" fontId="65" fillId="0" borderId="27" xfId="24" applyNumberFormat="1" applyFont="1" applyFill="1" applyBorder="1">
      <alignment vertical="center"/>
    </xf>
    <xf numFmtId="49" fontId="65" fillId="22" borderId="25" xfId="24" applyNumberFormat="1" applyFont="1" applyFill="1" applyBorder="1">
      <alignment vertical="center"/>
    </xf>
    <xf numFmtId="41" fontId="65" fillId="22" borderId="25" xfId="25" applyNumberFormat="1" applyFont="1" applyFill="1" applyBorder="1">
      <alignment vertical="center"/>
    </xf>
    <xf numFmtId="0" fontId="65" fillId="22" borderId="25" xfId="24" applyNumberFormat="1" applyFont="1" applyFill="1" applyBorder="1">
      <alignment vertical="center"/>
    </xf>
    <xf numFmtId="0" fontId="65" fillId="22" borderId="25" xfId="24" applyNumberFormat="1" applyFont="1" applyFill="1" applyBorder="1" applyAlignment="1">
      <alignment vertical="center"/>
    </xf>
    <xf numFmtId="0" fontId="65" fillId="22" borderId="25" xfId="24" applyNumberFormat="1" applyFont="1" applyFill="1" applyBorder="1" applyAlignment="1">
      <alignment horizontal="center" vertical="center"/>
    </xf>
    <xf numFmtId="178" fontId="65" fillId="22" borderId="25" xfId="24" applyNumberFormat="1" applyFont="1" applyFill="1" applyBorder="1">
      <alignment vertical="center"/>
    </xf>
    <xf numFmtId="176" fontId="65" fillId="22" borderId="27" xfId="25" applyNumberFormat="1" applyFont="1" applyFill="1" applyBorder="1" applyAlignment="1">
      <alignment horizontal="right" vertical="center"/>
    </xf>
    <xf numFmtId="0" fontId="99" fillId="0" borderId="0" xfId="33" applyFont="1" applyFill="1" applyBorder="1" applyAlignment="1">
      <alignment horizontal="left" vertical="center" indent="1" shrinkToFit="1"/>
    </xf>
    <xf numFmtId="176" fontId="86" fillId="0" borderId="61" xfId="1" applyNumberFormat="1" applyFont="1" applyFill="1" applyBorder="1" applyAlignment="1">
      <alignment horizontal="right" vertical="center"/>
    </xf>
    <xf numFmtId="224" fontId="86" fillId="0" borderId="61" xfId="1" applyNumberFormat="1" applyFont="1" applyFill="1" applyBorder="1" applyAlignment="1">
      <alignment horizontal="right" vertical="center"/>
    </xf>
    <xf numFmtId="227" fontId="86" fillId="0" borderId="132" xfId="17" applyNumberFormat="1" applyFont="1" applyFill="1" applyBorder="1" applyAlignment="1">
      <alignment horizontal="center" vertical="center"/>
    </xf>
    <xf numFmtId="224" fontId="85" fillId="0" borderId="78" xfId="18" applyNumberFormat="1" applyFont="1" applyFill="1" applyBorder="1" applyAlignment="1">
      <alignment horizontal="right" vertical="center"/>
    </xf>
    <xf numFmtId="177" fontId="85" fillId="0" borderId="83" xfId="17" applyNumberFormat="1" applyFont="1" applyFill="1" applyBorder="1" applyAlignment="1">
      <alignment horizontal="center" vertical="center"/>
    </xf>
    <xf numFmtId="177" fontId="86" fillId="0" borderId="83" xfId="17" applyNumberFormat="1" applyFont="1" applyFill="1" applyBorder="1" applyAlignment="1">
      <alignment horizontal="center" vertical="center"/>
    </xf>
    <xf numFmtId="41" fontId="86" fillId="0" borderId="60" xfId="7" applyFont="1" applyFill="1" applyBorder="1" applyAlignment="1">
      <alignment horizontal="left" vertical="center" shrinkToFit="1"/>
    </xf>
    <xf numFmtId="41" fontId="92" fillId="0" borderId="63" xfId="7" applyFont="1" applyFill="1" applyBorder="1" applyAlignment="1">
      <alignment horizontal="left" vertical="center" shrinkToFit="1"/>
    </xf>
    <xf numFmtId="176" fontId="92" fillId="0" borderId="64" xfId="18" applyNumberFormat="1" applyFont="1" applyFill="1" applyBorder="1" applyAlignment="1">
      <alignment horizontal="right" vertical="center"/>
    </xf>
    <xf numFmtId="177" fontId="92" fillId="0" borderId="64" xfId="17" applyNumberFormat="1" applyFont="1" applyFill="1" applyBorder="1" applyAlignment="1">
      <alignment horizontal="center" vertical="center"/>
    </xf>
    <xf numFmtId="224" fontId="92" fillId="0" borderId="64" xfId="18" applyNumberFormat="1" applyFont="1" applyFill="1" applyBorder="1" applyAlignment="1">
      <alignment horizontal="right" vertical="center"/>
    </xf>
    <xf numFmtId="227" fontId="92" fillId="0" borderId="96" xfId="17" applyNumberFormat="1" applyFont="1" applyFill="1" applyBorder="1" applyAlignment="1">
      <alignment horizontal="center" vertical="center"/>
    </xf>
    <xf numFmtId="41" fontId="93" fillId="0" borderId="85" xfId="7" applyFont="1" applyFill="1" applyBorder="1" applyAlignment="1">
      <alignment vertical="center" shrinkToFit="1"/>
    </xf>
    <xf numFmtId="41" fontId="93" fillId="0" borderId="63" xfId="7" applyFont="1" applyFill="1" applyBorder="1" applyAlignment="1">
      <alignment horizontal="left" vertical="center" shrinkToFit="1"/>
    </xf>
    <xf numFmtId="176" fontId="93" fillId="0" borderId="64" xfId="18" applyNumberFormat="1" applyFont="1" applyFill="1" applyBorder="1" applyAlignment="1">
      <alignment horizontal="right" vertical="center"/>
    </xf>
    <xf numFmtId="177" fontId="93" fillId="0" borderId="64" xfId="17" applyNumberFormat="1" applyFont="1" applyFill="1" applyBorder="1" applyAlignment="1">
      <alignment horizontal="center" vertical="center"/>
    </xf>
    <xf numFmtId="224" fontId="93" fillId="0" borderId="64" xfId="18" applyNumberFormat="1" applyFont="1" applyFill="1" applyBorder="1" applyAlignment="1">
      <alignment horizontal="right" vertical="center"/>
    </xf>
    <xf numFmtId="227" fontId="93" fillId="0" borderId="96" xfId="17" applyNumberFormat="1" applyFont="1" applyFill="1" applyBorder="1" applyAlignment="1">
      <alignment horizontal="center" vertical="center"/>
    </xf>
    <xf numFmtId="41" fontId="85" fillId="0" borderId="63" xfId="7" applyFont="1" applyFill="1" applyBorder="1" applyAlignment="1">
      <alignment horizontal="left" vertical="center" shrinkToFit="1"/>
    </xf>
    <xf numFmtId="176" fontId="85" fillId="0" borderId="64" xfId="18" applyNumberFormat="1" applyFont="1" applyFill="1" applyBorder="1" applyAlignment="1">
      <alignment horizontal="right" vertical="center"/>
    </xf>
    <xf numFmtId="224" fontId="85" fillId="0" borderId="64" xfId="18" applyNumberFormat="1" applyFont="1" applyFill="1" applyBorder="1" applyAlignment="1">
      <alignment horizontal="right" vertical="center"/>
    </xf>
    <xf numFmtId="49" fontId="68" fillId="0" borderId="0" xfId="24" applyNumberFormat="1" applyFont="1" applyFill="1" applyBorder="1" applyAlignment="1">
      <alignment horizontal="left" vertical="center" indent="1" shrinkToFit="1"/>
    </xf>
    <xf numFmtId="0" fontId="73" fillId="0" borderId="0" xfId="0" applyFont="1" applyBorder="1" applyAlignment="1">
      <alignment horizontal="center" vertical="center" wrapText="1"/>
    </xf>
    <xf numFmtId="0" fontId="75" fillId="0" borderId="0" xfId="0" applyFont="1" applyAlignment="1">
      <alignment horizontal="left" vertical="center"/>
    </xf>
    <xf numFmtId="0" fontId="77" fillId="0" borderId="0" xfId="0" applyFont="1" applyFill="1" applyAlignment="1">
      <alignment horizontal="center" vertical="center"/>
    </xf>
    <xf numFmtId="212" fontId="75" fillId="0" borderId="0" xfId="0" applyNumberFormat="1" applyFont="1" applyAlignment="1">
      <alignment horizontal="right" vertical="center"/>
    </xf>
    <xf numFmtId="0" fontId="77" fillId="0" borderId="0" xfId="0" applyFont="1" applyFill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0" fontId="83" fillId="0" borderId="0" xfId="0" applyFont="1" applyAlignment="1">
      <alignment horizontal="center" vertical="center"/>
    </xf>
    <xf numFmtId="0" fontId="81" fillId="0" borderId="0" xfId="0" applyFont="1" applyAlignment="1">
      <alignment horizontal="left" vertical="center" wrapText="1"/>
    </xf>
    <xf numFmtId="0" fontId="82" fillId="0" borderId="0" xfId="0" applyFont="1" applyAlignment="1">
      <alignment horizontal="left" vertical="center" wrapText="1"/>
    </xf>
    <xf numFmtId="0" fontId="31" fillId="0" borderId="0" xfId="15" applyFont="1" applyAlignment="1">
      <alignment horizontal="center" vertical="center"/>
    </xf>
    <xf numFmtId="0" fontId="33" fillId="0" borderId="0" xfId="0" applyFont="1" applyAlignment="1">
      <alignment horizontal="right" vertical="center" indent="1"/>
    </xf>
    <xf numFmtId="0" fontId="49" fillId="10" borderId="57" xfId="0" applyFont="1" applyFill="1" applyBorder="1" applyAlignment="1">
      <alignment horizontal="center" vertical="center"/>
    </xf>
    <xf numFmtId="0" fontId="49" fillId="10" borderId="60" xfId="0" applyFont="1" applyFill="1" applyBorder="1" applyAlignment="1">
      <alignment horizontal="center" vertical="center"/>
    </xf>
    <xf numFmtId="0" fontId="49" fillId="10" borderId="58" xfId="0" applyFont="1" applyFill="1" applyBorder="1" applyAlignment="1">
      <alignment horizontal="center" vertical="center"/>
    </xf>
    <xf numFmtId="0" fontId="49" fillId="10" borderId="59" xfId="0" applyFont="1" applyFill="1" applyBorder="1" applyAlignment="1">
      <alignment horizontal="center" vertical="center"/>
    </xf>
    <xf numFmtId="0" fontId="105" fillId="0" borderId="0" xfId="15" applyFont="1" applyAlignment="1">
      <alignment horizontal="center" vertical="center"/>
    </xf>
    <xf numFmtId="0" fontId="36" fillId="0" borderId="0" xfId="15" applyFont="1" applyAlignment="1">
      <alignment horizontal="center" vertical="center"/>
    </xf>
    <xf numFmtId="0" fontId="87" fillId="0" borderId="0" xfId="15" applyFont="1" applyAlignment="1">
      <alignment horizontal="center" vertical="center"/>
    </xf>
    <xf numFmtId="41" fontId="85" fillId="0" borderId="0" xfId="18" applyFont="1" applyBorder="1" applyAlignment="1">
      <alignment horizontal="right" vertical="center"/>
    </xf>
    <xf numFmtId="41" fontId="85" fillId="14" borderId="101" xfId="7" applyFont="1" applyFill="1" applyBorder="1" applyAlignment="1">
      <alignment horizontal="center" vertical="center"/>
    </xf>
    <xf numFmtId="41" fontId="85" fillId="14" borderId="127" xfId="7" applyFont="1" applyFill="1" applyBorder="1" applyAlignment="1">
      <alignment horizontal="center" vertical="center"/>
    </xf>
    <xf numFmtId="0" fontId="85" fillId="14" borderId="57" xfId="15" applyFont="1" applyFill="1" applyBorder="1" applyAlignment="1">
      <alignment horizontal="center" vertical="center"/>
    </xf>
    <xf numFmtId="0" fontId="85" fillId="14" borderId="58" xfId="15" applyFont="1" applyFill="1" applyBorder="1" applyAlignment="1">
      <alignment horizontal="center" vertical="center"/>
    </xf>
    <xf numFmtId="0" fontId="85" fillId="14" borderId="59" xfId="15" applyFont="1" applyFill="1" applyBorder="1" applyAlignment="1">
      <alignment horizontal="center" vertical="center"/>
    </xf>
    <xf numFmtId="224" fontId="85" fillId="14" borderId="101" xfId="15" applyNumberFormat="1" applyFont="1" applyFill="1" applyBorder="1" applyAlignment="1">
      <alignment horizontal="center" vertical="center"/>
    </xf>
    <xf numFmtId="224" fontId="85" fillId="14" borderId="102" xfId="15" applyNumberFormat="1" applyFont="1" applyFill="1" applyBorder="1" applyAlignment="1">
      <alignment horizontal="center" vertical="center"/>
    </xf>
    <xf numFmtId="224" fontId="85" fillId="14" borderId="128" xfId="15" applyNumberFormat="1" applyFont="1" applyFill="1" applyBorder="1" applyAlignment="1">
      <alignment horizontal="center" vertical="center"/>
    </xf>
    <xf numFmtId="226" fontId="85" fillId="14" borderId="101" xfId="15" applyNumberFormat="1" applyFont="1" applyFill="1" applyBorder="1" applyAlignment="1">
      <alignment horizontal="center" vertical="center"/>
    </xf>
    <xf numFmtId="226" fontId="85" fillId="14" borderId="102" xfId="15" applyNumberFormat="1" applyFont="1" applyFill="1" applyBorder="1" applyAlignment="1">
      <alignment horizontal="center" vertical="center"/>
    </xf>
    <xf numFmtId="226" fontId="85" fillId="14" borderId="128" xfId="15" applyNumberFormat="1" applyFont="1" applyFill="1" applyBorder="1" applyAlignment="1">
      <alignment horizontal="center" vertical="center"/>
    </xf>
    <xf numFmtId="41" fontId="85" fillId="11" borderId="66" xfId="7" applyFont="1" applyFill="1" applyBorder="1" applyAlignment="1">
      <alignment horizontal="center" vertical="center"/>
    </xf>
    <xf numFmtId="41" fontId="85" fillId="11" borderId="75" xfId="7" applyFont="1" applyFill="1" applyBorder="1" applyAlignment="1">
      <alignment horizontal="center" vertical="center"/>
    </xf>
    <xf numFmtId="0" fontId="85" fillId="11" borderId="67" xfId="15" applyFont="1" applyFill="1" applyBorder="1" applyAlignment="1">
      <alignment horizontal="center" vertical="center"/>
    </xf>
    <xf numFmtId="0" fontId="85" fillId="11" borderId="68" xfId="15" applyFont="1" applyFill="1" applyBorder="1" applyAlignment="1">
      <alignment horizontal="center" vertical="center"/>
    </xf>
    <xf numFmtId="41" fontId="37" fillId="0" borderId="0" xfId="7" applyFont="1" applyBorder="1" applyAlignment="1">
      <alignment horizontal="left" vertical="center"/>
    </xf>
    <xf numFmtId="41" fontId="89" fillId="0" borderId="0" xfId="18" applyFont="1" applyBorder="1" applyAlignment="1">
      <alignment horizontal="right" vertical="center"/>
    </xf>
    <xf numFmtId="41" fontId="86" fillId="11" borderId="57" xfId="7" applyFont="1" applyFill="1" applyBorder="1" applyAlignment="1">
      <alignment horizontal="center" vertical="center"/>
    </xf>
    <xf numFmtId="41" fontId="86" fillId="11" borderId="58" xfId="7" applyFont="1" applyFill="1" applyBorder="1" applyAlignment="1">
      <alignment horizontal="center" vertical="center"/>
    </xf>
    <xf numFmtId="41" fontId="86" fillId="11" borderId="59" xfId="7" applyFont="1" applyFill="1" applyBorder="1" applyAlignment="1">
      <alignment horizontal="center" vertical="center"/>
    </xf>
    <xf numFmtId="41" fontId="86" fillId="14" borderId="57" xfId="7" applyFont="1" applyFill="1" applyBorder="1" applyAlignment="1">
      <alignment horizontal="center" vertical="center"/>
    </xf>
    <xf numFmtId="41" fontId="86" fillId="14" borderId="58" xfId="7" applyFont="1" applyFill="1" applyBorder="1" applyAlignment="1">
      <alignment horizontal="center" vertical="center"/>
    </xf>
    <xf numFmtId="41" fontId="86" fillId="14" borderId="59" xfId="7" applyFont="1" applyFill="1" applyBorder="1" applyAlignment="1">
      <alignment horizontal="center" vertical="center"/>
    </xf>
    <xf numFmtId="41" fontId="85" fillId="14" borderId="69" xfId="7" applyFont="1" applyFill="1" applyBorder="1" applyAlignment="1">
      <alignment horizontal="center" vertical="center"/>
    </xf>
    <xf numFmtId="41" fontId="85" fillId="14" borderId="75" xfId="7" applyFont="1" applyFill="1" applyBorder="1" applyAlignment="1">
      <alignment horizontal="center" vertical="center"/>
    </xf>
    <xf numFmtId="0" fontId="85" fillId="14" borderId="70" xfId="15" applyFont="1" applyFill="1" applyBorder="1" applyAlignment="1">
      <alignment horizontal="center" vertical="center"/>
    </xf>
    <xf numFmtId="0" fontId="85" fillId="14" borderId="71" xfId="15" applyFont="1" applyFill="1" applyBorder="1" applyAlignment="1">
      <alignment horizontal="center" vertical="center"/>
    </xf>
    <xf numFmtId="0" fontId="89" fillId="15" borderId="70" xfId="15" applyFont="1" applyFill="1" applyBorder="1" applyAlignment="1">
      <alignment horizontal="center" vertical="center"/>
    </xf>
    <xf numFmtId="0" fontId="89" fillId="15" borderId="71" xfId="15" applyFont="1" applyFill="1" applyBorder="1" applyAlignment="1">
      <alignment horizontal="center" vertical="center"/>
    </xf>
    <xf numFmtId="41" fontId="89" fillId="11" borderId="69" xfId="7" applyFont="1" applyFill="1" applyBorder="1" applyAlignment="1">
      <alignment horizontal="center" vertical="center"/>
    </xf>
    <xf numFmtId="41" fontId="89" fillId="11" borderId="60" xfId="7" applyFont="1" applyFill="1" applyBorder="1" applyAlignment="1">
      <alignment horizontal="center" vertical="center"/>
    </xf>
    <xf numFmtId="0" fontId="89" fillId="11" borderId="70" xfId="15" applyFont="1" applyFill="1" applyBorder="1" applyAlignment="1">
      <alignment horizontal="center" vertical="center"/>
    </xf>
    <xf numFmtId="0" fontId="89" fillId="11" borderId="92" xfId="15" applyFont="1" applyFill="1" applyBorder="1" applyAlignment="1">
      <alignment horizontal="center" vertical="center"/>
    </xf>
    <xf numFmtId="41" fontId="89" fillId="15" borderId="93" xfId="15" applyNumberFormat="1" applyFont="1" applyFill="1" applyBorder="1" applyAlignment="1">
      <alignment horizontal="center" vertical="center"/>
    </xf>
    <xf numFmtId="0" fontId="89" fillId="15" borderId="95" xfId="15" applyFont="1" applyFill="1" applyBorder="1" applyAlignment="1">
      <alignment horizontal="center" vertical="center"/>
    </xf>
    <xf numFmtId="41" fontId="44" fillId="0" borderId="0" xfId="7" applyFont="1" applyBorder="1" applyAlignment="1">
      <alignment horizontal="center" vertical="center"/>
    </xf>
    <xf numFmtId="41" fontId="104" fillId="0" borderId="0" xfId="18" applyFont="1" applyBorder="1" applyAlignment="1">
      <alignment horizontal="right" vertical="center"/>
    </xf>
    <xf numFmtId="41" fontId="88" fillId="11" borderId="57" xfId="7" applyFont="1" applyFill="1" applyBorder="1" applyAlignment="1">
      <alignment horizontal="center" vertical="center"/>
    </xf>
    <xf numFmtId="41" fontId="88" fillId="11" borderId="58" xfId="7" applyFont="1" applyFill="1" applyBorder="1" applyAlignment="1">
      <alignment horizontal="center" vertical="center"/>
    </xf>
    <xf numFmtId="41" fontId="88" fillId="11" borderId="90" xfId="7" applyFont="1" applyFill="1" applyBorder="1" applyAlignment="1">
      <alignment horizontal="center" vertical="center"/>
    </xf>
    <xf numFmtId="41" fontId="88" fillId="15" borderId="91" xfId="7" applyFont="1" applyFill="1" applyBorder="1" applyAlignment="1">
      <alignment horizontal="center" vertical="center"/>
    </xf>
    <xf numFmtId="41" fontId="88" fillId="15" borderId="58" xfId="7" applyFont="1" applyFill="1" applyBorder="1" applyAlignment="1">
      <alignment horizontal="center" vertical="center"/>
    </xf>
    <xf numFmtId="41" fontId="88" fillId="15" borderId="59" xfId="7" applyFont="1" applyFill="1" applyBorder="1" applyAlignment="1">
      <alignment horizontal="center" vertical="center"/>
    </xf>
    <xf numFmtId="0" fontId="105" fillId="0" borderId="0" xfId="15" applyFont="1" applyAlignment="1">
      <alignment horizontal="center" vertical="center" shrinkToFit="1"/>
    </xf>
    <xf numFmtId="41" fontId="93" fillId="0" borderId="10" xfId="18" applyFont="1" applyBorder="1" applyAlignment="1">
      <alignment horizontal="right" vertical="center"/>
    </xf>
    <xf numFmtId="41" fontId="92" fillId="11" borderId="101" xfId="7" applyFont="1" applyFill="1" applyBorder="1" applyAlignment="1">
      <alignment horizontal="center" vertical="center" shrinkToFit="1"/>
    </xf>
    <xf numFmtId="41" fontId="92" fillId="11" borderId="102" xfId="7" applyFont="1" applyFill="1" applyBorder="1" applyAlignment="1">
      <alignment horizontal="center" vertical="center" shrinkToFit="1"/>
    </xf>
    <xf numFmtId="41" fontId="92" fillId="11" borderId="128" xfId="7" applyFont="1" applyFill="1" applyBorder="1" applyAlignment="1">
      <alignment horizontal="center" vertical="center" shrinkToFit="1"/>
    </xf>
    <xf numFmtId="41" fontId="92" fillId="15" borderId="101" xfId="7" applyFont="1" applyFill="1" applyBorder="1" applyAlignment="1">
      <alignment horizontal="center" vertical="center" shrinkToFit="1"/>
    </xf>
    <xf numFmtId="41" fontId="92" fillId="15" borderId="102" xfId="7" applyFont="1" applyFill="1" applyBorder="1" applyAlignment="1">
      <alignment horizontal="center" vertical="center" shrinkToFit="1"/>
    </xf>
    <xf numFmtId="41" fontId="92" fillId="15" borderId="128" xfId="7" applyFont="1" applyFill="1" applyBorder="1" applyAlignment="1">
      <alignment horizontal="center" vertical="center" shrinkToFit="1"/>
    </xf>
    <xf numFmtId="0" fontId="93" fillId="15" borderId="92" xfId="15" applyFont="1" applyFill="1" applyBorder="1" applyAlignment="1">
      <alignment horizontal="center" vertical="center"/>
    </xf>
    <xf numFmtId="0" fontId="93" fillId="15" borderId="103" xfId="15" applyFont="1" applyFill="1" applyBorder="1" applyAlignment="1">
      <alignment horizontal="center" vertical="center"/>
    </xf>
    <xf numFmtId="0" fontId="93" fillId="15" borderId="129" xfId="15" applyFont="1" applyFill="1" applyBorder="1" applyAlignment="1">
      <alignment horizontal="center" vertical="center"/>
    </xf>
    <xf numFmtId="0" fontId="93" fillId="11" borderId="92" xfId="15" applyFont="1" applyFill="1" applyBorder="1" applyAlignment="1">
      <alignment horizontal="center" vertical="center"/>
    </xf>
    <xf numFmtId="0" fontId="93" fillId="11" borderId="103" xfId="15" applyFont="1" applyFill="1" applyBorder="1" applyAlignment="1">
      <alignment horizontal="center" vertical="center"/>
    </xf>
    <xf numFmtId="0" fontId="93" fillId="11" borderId="129" xfId="15" applyFont="1" applyFill="1" applyBorder="1" applyAlignment="1">
      <alignment horizontal="center" vertical="center"/>
    </xf>
    <xf numFmtId="0" fontId="64" fillId="0" borderId="26" xfId="3" applyNumberFormat="1" applyFont="1" applyFill="1" applyBorder="1" applyAlignment="1">
      <alignment horizontal="left" vertical="center"/>
    </xf>
    <xf numFmtId="0" fontId="64" fillId="0" borderId="25" xfId="3" applyNumberFormat="1" applyFont="1" applyFill="1" applyBorder="1" applyAlignment="1">
      <alignment horizontal="left" vertical="center"/>
    </xf>
    <xf numFmtId="0" fontId="64" fillId="0" borderId="39" xfId="3" applyNumberFormat="1" applyFont="1" applyFill="1" applyBorder="1" applyAlignment="1">
      <alignment horizontal="left" vertical="center"/>
    </xf>
    <xf numFmtId="0" fontId="64" fillId="4" borderId="26" xfId="3" applyNumberFormat="1" applyFont="1" applyFill="1" applyBorder="1" applyAlignment="1">
      <alignment horizontal="left" vertical="center"/>
    </xf>
    <xf numFmtId="0" fontId="64" fillId="4" borderId="25" xfId="3" applyNumberFormat="1" applyFont="1" applyFill="1" applyBorder="1" applyAlignment="1">
      <alignment horizontal="left" vertical="center"/>
    </xf>
    <xf numFmtId="0" fontId="64" fillId="4" borderId="39" xfId="3" applyNumberFormat="1" applyFont="1" applyFill="1" applyBorder="1" applyAlignment="1">
      <alignment horizontal="left" vertical="center"/>
    </xf>
    <xf numFmtId="0" fontId="3" fillId="0" borderId="0" xfId="3" applyNumberFormat="1" applyFont="1" applyAlignment="1">
      <alignment horizontal="center" vertical="center"/>
    </xf>
    <xf numFmtId="0" fontId="64" fillId="0" borderId="0" xfId="3" applyNumberFormat="1" applyFont="1" applyBorder="1" applyAlignment="1">
      <alignment horizontal="right" vertical="center"/>
    </xf>
    <xf numFmtId="0" fontId="64" fillId="2" borderId="1" xfId="3" applyNumberFormat="1" applyFont="1" applyFill="1" applyBorder="1" applyAlignment="1">
      <alignment horizontal="center" vertical="center"/>
    </xf>
    <xf numFmtId="0" fontId="64" fillId="2" borderId="2" xfId="3" applyNumberFormat="1" applyFont="1" applyFill="1" applyBorder="1" applyAlignment="1">
      <alignment horizontal="center" vertical="center"/>
    </xf>
    <xf numFmtId="0" fontId="64" fillId="2" borderId="3" xfId="3" applyNumberFormat="1" applyFont="1" applyFill="1" applyBorder="1" applyAlignment="1">
      <alignment horizontal="center" vertical="center"/>
    </xf>
    <xf numFmtId="41" fontId="64" fillId="2" borderId="3" xfId="4" applyNumberFormat="1" applyFont="1" applyFill="1" applyBorder="1" applyAlignment="1">
      <alignment horizontal="center" vertical="center"/>
    </xf>
    <xf numFmtId="41" fontId="64" fillId="2" borderId="4" xfId="4" applyNumberFormat="1" applyFont="1" applyFill="1" applyBorder="1" applyAlignment="1">
      <alignment horizontal="center" vertical="center"/>
    </xf>
    <xf numFmtId="41" fontId="64" fillId="2" borderId="10" xfId="4" applyNumberFormat="1" applyFont="1" applyFill="1" applyBorder="1" applyAlignment="1">
      <alignment horizontal="center" vertical="center"/>
    </xf>
    <xf numFmtId="41" fontId="64" fillId="2" borderId="11" xfId="4" applyNumberFormat="1" applyFont="1" applyFill="1" applyBorder="1" applyAlignment="1">
      <alignment horizontal="center" vertical="center"/>
    </xf>
    <xf numFmtId="176" fontId="64" fillId="2" borderId="5" xfId="4" applyNumberFormat="1" applyFont="1" applyFill="1" applyBorder="1" applyAlignment="1">
      <alignment horizontal="center" vertical="center"/>
    </xf>
    <xf numFmtId="176" fontId="64" fillId="2" borderId="12" xfId="4" applyNumberFormat="1" applyFont="1" applyFill="1" applyBorder="1" applyAlignment="1">
      <alignment horizontal="center" vertical="center"/>
    </xf>
    <xf numFmtId="41" fontId="64" fillId="2" borderId="5" xfId="4" applyNumberFormat="1" applyFont="1" applyFill="1" applyBorder="1" applyAlignment="1">
      <alignment horizontal="center" vertical="center" wrapText="1"/>
    </xf>
    <xf numFmtId="41" fontId="64" fillId="2" borderId="12" xfId="4" applyNumberFormat="1" applyFont="1" applyFill="1" applyBorder="1" applyAlignment="1">
      <alignment horizontal="center" vertical="center" wrapText="1"/>
    </xf>
    <xf numFmtId="41" fontId="64" fillId="2" borderId="5" xfId="4" applyNumberFormat="1" applyFont="1" applyFill="1" applyBorder="1" applyAlignment="1">
      <alignment horizontal="center" vertical="center"/>
    </xf>
    <xf numFmtId="41" fontId="64" fillId="2" borderId="12" xfId="4" applyNumberFormat="1" applyFont="1" applyFill="1" applyBorder="1" applyAlignment="1">
      <alignment horizontal="center" vertical="center"/>
    </xf>
    <xf numFmtId="227" fontId="64" fillId="2" borderId="6" xfId="3" applyNumberFormat="1" applyFont="1" applyFill="1" applyBorder="1" applyAlignment="1">
      <alignment horizontal="center" vertical="center"/>
    </xf>
    <xf numFmtId="227" fontId="64" fillId="2" borderId="13" xfId="3" applyNumberFormat="1" applyFont="1" applyFill="1" applyBorder="1" applyAlignment="1">
      <alignment horizontal="center" vertical="center"/>
    </xf>
    <xf numFmtId="0" fontId="39" fillId="0" borderId="26" xfId="0" applyFont="1" applyFill="1" applyBorder="1" applyAlignment="1">
      <alignment horizontal="left" vertical="center"/>
    </xf>
    <xf numFmtId="0" fontId="39" fillId="0" borderId="25" xfId="0" applyFont="1" applyFill="1" applyBorder="1" applyAlignment="1">
      <alignment horizontal="left" vertical="center"/>
    </xf>
    <xf numFmtId="0" fontId="39" fillId="0" borderId="39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39" fillId="0" borderId="10" xfId="0" applyFont="1" applyBorder="1" applyAlignment="1">
      <alignment horizontal="right" vertical="center"/>
    </xf>
    <xf numFmtId="0" fontId="39" fillId="2" borderId="1" xfId="0" applyFont="1" applyFill="1" applyBorder="1" applyAlignment="1">
      <alignment horizontal="center" vertical="center"/>
    </xf>
    <xf numFmtId="0" fontId="39" fillId="2" borderId="2" xfId="0" applyFont="1" applyFill="1" applyBorder="1" applyAlignment="1">
      <alignment horizontal="center" vertical="center"/>
    </xf>
    <xf numFmtId="41" fontId="39" fillId="2" borderId="3" xfId="1" applyFont="1" applyFill="1" applyBorder="1" applyAlignment="1">
      <alignment horizontal="center" vertical="center"/>
    </xf>
    <xf numFmtId="41" fontId="39" fillId="2" borderId="4" xfId="1" applyFont="1" applyFill="1" applyBorder="1" applyAlignment="1">
      <alignment horizontal="center" vertical="center"/>
    </xf>
    <xf numFmtId="41" fontId="39" fillId="2" borderId="10" xfId="1" applyFont="1" applyFill="1" applyBorder="1" applyAlignment="1">
      <alignment horizontal="center" vertical="center"/>
    </xf>
    <xf numFmtId="41" fontId="39" fillId="2" borderId="11" xfId="1" applyFont="1" applyFill="1" applyBorder="1" applyAlignment="1">
      <alignment horizontal="center" vertical="center"/>
    </xf>
    <xf numFmtId="176" fontId="39" fillId="2" borderId="5" xfId="1" applyNumberFormat="1" applyFont="1" applyFill="1" applyBorder="1" applyAlignment="1">
      <alignment horizontal="center" vertical="center"/>
    </xf>
    <xf numFmtId="176" fontId="39" fillId="2" borderId="12" xfId="1" applyNumberFormat="1" applyFont="1" applyFill="1" applyBorder="1" applyAlignment="1">
      <alignment horizontal="center" vertical="center"/>
    </xf>
    <xf numFmtId="41" fontId="39" fillId="2" borderId="5" xfId="1" applyFont="1" applyFill="1" applyBorder="1" applyAlignment="1">
      <alignment horizontal="center" vertical="center" wrapText="1"/>
    </xf>
    <xf numFmtId="41" fontId="39" fillId="2" borderId="12" xfId="1" applyFont="1" applyFill="1" applyBorder="1" applyAlignment="1">
      <alignment horizontal="center" vertical="center" wrapText="1"/>
    </xf>
    <xf numFmtId="224" fontId="39" fillId="2" borderId="5" xfId="1" applyNumberFormat="1" applyFont="1" applyFill="1" applyBorder="1" applyAlignment="1">
      <alignment horizontal="center" vertical="center"/>
    </xf>
    <xf numFmtId="224" fontId="39" fillId="2" borderId="12" xfId="1" applyNumberFormat="1" applyFont="1" applyFill="1" applyBorder="1" applyAlignment="1">
      <alignment horizontal="center" vertical="center"/>
    </xf>
    <xf numFmtId="227" fontId="39" fillId="2" borderId="6" xfId="0" applyNumberFormat="1" applyFont="1" applyFill="1" applyBorder="1" applyAlignment="1">
      <alignment horizontal="center" vertical="center"/>
    </xf>
    <xf numFmtId="227" fontId="39" fillId="2" borderId="13" xfId="0" applyNumberFormat="1" applyFont="1" applyFill="1" applyBorder="1" applyAlignment="1">
      <alignment horizontal="center" vertical="center"/>
    </xf>
    <xf numFmtId="0" fontId="64" fillId="4" borderId="56" xfId="3" applyNumberFormat="1" applyFont="1" applyFill="1" applyBorder="1" applyAlignment="1">
      <alignment horizontal="left" vertical="center"/>
    </xf>
    <xf numFmtId="0" fontId="64" fillId="4" borderId="8" xfId="3" applyNumberFormat="1" applyFont="1" applyFill="1" applyBorder="1" applyAlignment="1">
      <alignment horizontal="left" vertical="center"/>
    </xf>
    <xf numFmtId="0" fontId="64" fillId="4" borderId="9" xfId="3" applyNumberFormat="1" applyFont="1" applyFill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right" vertical="center"/>
    </xf>
    <xf numFmtId="41" fontId="39" fillId="2" borderId="5" xfId="1" applyFont="1" applyFill="1" applyBorder="1" applyAlignment="1">
      <alignment horizontal="center" vertical="center"/>
    </xf>
    <xf numFmtId="41" fontId="39" fillId="2" borderId="12" xfId="1" applyFont="1" applyFill="1" applyBorder="1" applyAlignment="1">
      <alignment horizontal="center" vertical="center"/>
    </xf>
    <xf numFmtId="0" fontId="39" fillId="2" borderId="6" xfId="0" applyFont="1" applyFill="1" applyBorder="1" applyAlignment="1">
      <alignment horizontal="center" vertical="center"/>
    </xf>
    <xf numFmtId="0" fontId="39" fillId="2" borderId="13" xfId="0" applyFont="1" applyFill="1" applyBorder="1" applyAlignment="1">
      <alignment horizontal="center" vertical="center"/>
    </xf>
    <xf numFmtId="0" fontId="33" fillId="0" borderId="26" xfId="0" applyFont="1" applyFill="1" applyBorder="1" applyAlignment="1">
      <alignment horizontal="left" vertical="center"/>
    </xf>
    <xf numFmtId="0" fontId="33" fillId="0" borderId="25" xfId="0" applyFont="1" applyFill="1" applyBorder="1" applyAlignment="1">
      <alignment horizontal="left" vertical="center"/>
    </xf>
    <xf numFmtId="0" fontId="33" fillId="0" borderId="39" xfId="0" applyFont="1" applyFill="1" applyBorder="1" applyAlignment="1">
      <alignment horizontal="left" vertical="center"/>
    </xf>
    <xf numFmtId="176" fontId="39" fillId="2" borderId="5" xfId="1" applyNumberFormat="1" applyFont="1" applyFill="1" applyBorder="1" applyAlignment="1">
      <alignment horizontal="center" vertical="center" wrapText="1"/>
    </xf>
    <xf numFmtId="176" fontId="39" fillId="2" borderId="12" xfId="1" applyNumberFormat="1" applyFont="1" applyFill="1" applyBorder="1" applyAlignment="1">
      <alignment horizontal="center" vertical="center" wrapText="1"/>
    </xf>
    <xf numFmtId="0" fontId="33" fillId="0" borderId="52" xfId="0" applyFont="1" applyFill="1" applyBorder="1" applyAlignment="1">
      <alignment horizontal="left" vertical="center"/>
    </xf>
    <xf numFmtId="0" fontId="33" fillId="0" borderId="2" xfId="0" applyFont="1" applyFill="1" applyBorder="1" applyAlignment="1">
      <alignment horizontal="left" vertical="center"/>
    </xf>
    <xf numFmtId="0" fontId="33" fillId="0" borderId="34" xfId="0" applyFont="1" applyFill="1" applyBorder="1" applyAlignment="1">
      <alignment horizontal="left" vertical="center"/>
    </xf>
    <xf numFmtId="0" fontId="33" fillId="2" borderId="1" xfId="0" applyFont="1" applyFill="1" applyBorder="1" applyAlignment="1">
      <alignment horizontal="center" vertical="center"/>
    </xf>
    <xf numFmtId="0" fontId="33" fillId="2" borderId="2" xfId="0" applyFont="1" applyFill="1" applyBorder="1" applyAlignment="1">
      <alignment horizontal="center" vertical="center"/>
    </xf>
    <xf numFmtId="41" fontId="33" fillId="2" borderId="3" xfId="1" applyFont="1" applyFill="1" applyBorder="1" applyAlignment="1">
      <alignment horizontal="center" vertical="center"/>
    </xf>
    <xf numFmtId="41" fontId="33" fillId="2" borderId="4" xfId="1" applyFont="1" applyFill="1" applyBorder="1" applyAlignment="1">
      <alignment horizontal="center" vertical="center"/>
    </xf>
    <xf numFmtId="41" fontId="33" fillId="2" borderId="10" xfId="1" applyFont="1" applyFill="1" applyBorder="1" applyAlignment="1">
      <alignment horizontal="center" vertical="center"/>
    </xf>
    <xf numFmtId="41" fontId="33" fillId="2" borderId="11" xfId="1" applyFont="1" applyFill="1" applyBorder="1" applyAlignment="1">
      <alignment horizontal="center" vertical="center"/>
    </xf>
    <xf numFmtId="176" fontId="33" fillId="2" borderId="5" xfId="1" applyNumberFormat="1" applyFont="1" applyFill="1" applyBorder="1" applyAlignment="1">
      <alignment horizontal="center" vertical="center"/>
    </xf>
    <xf numFmtId="176" fontId="33" fillId="2" borderId="12" xfId="1" applyNumberFormat="1" applyFont="1" applyFill="1" applyBorder="1" applyAlignment="1">
      <alignment horizontal="center" vertical="center"/>
    </xf>
    <xf numFmtId="41" fontId="33" fillId="2" borderId="5" xfId="1" applyFont="1" applyFill="1" applyBorder="1" applyAlignment="1">
      <alignment horizontal="center" vertical="center" wrapText="1"/>
    </xf>
    <xf numFmtId="41" fontId="33" fillId="2" borderId="12" xfId="1" applyFont="1" applyFill="1" applyBorder="1" applyAlignment="1">
      <alignment horizontal="center" vertical="center" wrapText="1"/>
    </xf>
    <xf numFmtId="224" fontId="33" fillId="2" borderId="5" xfId="1" applyNumberFormat="1" applyFont="1" applyFill="1" applyBorder="1" applyAlignment="1">
      <alignment horizontal="center" vertical="center"/>
    </xf>
    <xf numFmtId="224" fontId="33" fillId="2" borderId="12" xfId="1" applyNumberFormat="1" applyFont="1" applyFill="1" applyBorder="1" applyAlignment="1">
      <alignment horizontal="center" vertical="center"/>
    </xf>
    <xf numFmtId="227" fontId="33" fillId="2" borderId="6" xfId="0" applyNumberFormat="1" applyFont="1" applyFill="1" applyBorder="1" applyAlignment="1">
      <alignment horizontal="center" vertical="center"/>
    </xf>
    <xf numFmtId="227" fontId="33" fillId="2" borderId="13" xfId="0" applyNumberFormat="1" applyFont="1" applyFill="1" applyBorder="1" applyAlignment="1">
      <alignment horizontal="center" vertical="center"/>
    </xf>
    <xf numFmtId="0" fontId="65" fillId="0" borderId="26" xfId="24" applyNumberFormat="1" applyFont="1" applyFill="1" applyBorder="1" applyAlignment="1">
      <alignment horizontal="left" vertical="center"/>
    </xf>
    <xf numFmtId="0" fontId="65" fillId="0" borderId="25" xfId="24" applyNumberFormat="1" applyFont="1" applyFill="1" applyBorder="1" applyAlignment="1">
      <alignment horizontal="left" vertical="center"/>
    </xf>
    <xf numFmtId="0" fontId="65" fillId="0" borderId="39" xfId="24" applyNumberFormat="1" applyFont="1" applyFill="1" applyBorder="1" applyAlignment="1">
      <alignment horizontal="left" vertical="center"/>
    </xf>
    <xf numFmtId="0" fontId="84" fillId="6" borderId="26" xfId="0" applyFont="1" applyFill="1" applyBorder="1" applyAlignment="1">
      <alignment horizontal="left" vertical="center"/>
    </xf>
    <xf numFmtId="0" fontId="84" fillId="6" borderId="25" xfId="0" applyFont="1" applyFill="1" applyBorder="1" applyAlignment="1">
      <alignment horizontal="left" vertical="center"/>
    </xf>
    <xf numFmtId="0" fontId="84" fillId="6" borderId="37" xfId="0" applyFont="1" applyFill="1" applyBorder="1" applyAlignment="1">
      <alignment horizontal="left" vertical="center"/>
    </xf>
    <xf numFmtId="0" fontId="33" fillId="2" borderId="34" xfId="0" applyFont="1" applyFill="1" applyBorder="1" applyAlignment="1">
      <alignment horizontal="center" vertical="center"/>
    </xf>
    <xf numFmtId="0" fontId="65" fillId="0" borderId="26" xfId="3" applyNumberFormat="1" applyFont="1" applyFill="1" applyBorder="1" applyAlignment="1">
      <alignment horizontal="left" vertical="center"/>
    </xf>
    <xf numFmtId="0" fontId="65" fillId="0" borderId="25" xfId="3" applyNumberFormat="1" applyFont="1" applyFill="1" applyBorder="1" applyAlignment="1">
      <alignment horizontal="left" vertical="center"/>
    </xf>
    <xf numFmtId="0" fontId="65" fillId="0" borderId="39" xfId="3" applyNumberFormat="1" applyFont="1" applyFill="1" applyBorder="1" applyAlignment="1">
      <alignment horizontal="left" vertical="center"/>
    </xf>
    <xf numFmtId="0" fontId="28" fillId="0" borderId="0" xfId="3" applyNumberFormat="1" applyFont="1" applyAlignment="1">
      <alignment horizontal="center" vertical="center"/>
    </xf>
    <xf numFmtId="0" fontId="65" fillId="0" borderId="10" xfId="3" applyNumberFormat="1" applyFont="1" applyBorder="1" applyAlignment="1">
      <alignment horizontal="right" vertical="center"/>
    </xf>
    <xf numFmtId="0" fontId="65" fillId="9" borderId="1" xfId="3" applyNumberFormat="1" applyFont="1" applyFill="1" applyBorder="1" applyAlignment="1">
      <alignment horizontal="center" vertical="center"/>
    </xf>
    <xf numFmtId="0" fontId="65" fillId="9" borderId="2" xfId="3" applyNumberFormat="1" applyFont="1" applyFill="1" applyBorder="1" applyAlignment="1">
      <alignment horizontal="center" vertical="center"/>
    </xf>
    <xf numFmtId="41" fontId="65" fillId="9" borderId="3" xfId="4" applyNumberFormat="1" applyFont="1" applyFill="1" applyBorder="1" applyAlignment="1">
      <alignment horizontal="center" vertical="center"/>
    </xf>
    <xf numFmtId="41" fontId="65" fillId="9" borderId="4" xfId="4" applyNumberFormat="1" applyFont="1" applyFill="1" applyBorder="1" applyAlignment="1">
      <alignment horizontal="center" vertical="center"/>
    </xf>
    <xf numFmtId="41" fontId="65" fillId="9" borderId="10" xfId="4" applyNumberFormat="1" applyFont="1" applyFill="1" applyBorder="1" applyAlignment="1">
      <alignment horizontal="center" vertical="center"/>
    </xf>
    <xf numFmtId="41" fontId="65" fillId="9" borderId="11" xfId="4" applyNumberFormat="1" applyFont="1" applyFill="1" applyBorder="1" applyAlignment="1">
      <alignment horizontal="center" vertical="center"/>
    </xf>
    <xf numFmtId="176" fontId="65" fillId="9" borderId="5" xfId="4" applyNumberFormat="1" applyFont="1" applyFill="1" applyBorder="1" applyAlignment="1">
      <alignment horizontal="center" vertical="center"/>
    </xf>
    <xf numFmtId="176" fontId="65" fillId="9" borderId="12" xfId="4" applyNumberFormat="1" applyFont="1" applyFill="1" applyBorder="1" applyAlignment="1">
      <alignment horizontal="center" vertical="center"/>
    </xf>
    <xf numFmtId="41" fontId="65" fillId="9" borderId="5" xfId="4" applyNumberFormat="1" applyFont="1" applyFill="1" applyBorder="1" applyAlignment="1">
      <alignment horizontal="center" vertical="center" wrapText="1"/>
    </xf>
    <xf numFmtId="41" fontId="65" fillId="9" borderId="12" xfId="4" applyNumberFormat="1" applyFont="1" applyFill="1" applyBorder="1" applyAlignment="1">
      <alignment horizontal="center" vertical="center" wrapText="1"/>
    </xf>
    <xf numFmtId="224" fontId="65" fillId="9" borderId="5" xfId="4" applyNumberFormat="1" applyFont="1" applyFill="1" applyBorder="1" applyAlignment="1">
      <alignment horizontal="center" vertical="center"/>
    </xf>
    <xf numFmtId="224" fontId="65" fillId="9" borderId="12" xfId="4" applyNumberFormat="1" applyFont="1" applyFill="1" applyBorder="1" applyAlignment="1">
      <alignment horizontal="center" vertical="center"/>
    </xf>
    <xf numFmtId="227" fontId="65" fillId="9" borderId="6" xfId="3" applyNumberFormat="1" applyFont="1" applyFill="1" applyBorder="1" applyAlignment="1">
      <alignment horizontal="center" vertical="center"/>
    </xf>
    <xf numFmtId="227" fontId="65" fillId="9" borderId="13" xfId="3" applyNumberFormat="1" applyFont="1" applyFill="1" applyBorder="1" applyAlignment="1">
      <alignment horizontal="center" vertical="center"/>
    </xf>
    <xf numFmtId="176" fontId="33" fillId="0" borderId="10" xfId="0" applyNumberFormat="1" applyFont="1" applyBorder="1" applyAlignment="1">
      <alignment horizontal="right" vertical="center"/>
    </xf>
    <xf numFmtId="176" fontId="33" fillId="2" borderId="5" xfId="1" applyNumberFormat="1" applyFont="1" applyFill="1" applyBorder="1" applyAlignment="1">
      <alignment horizontal="center" vertical="center" wrapText="1"/>
    </xf>
    <xf numFmtId="176" fontId="33" fillId="2" borderId="12" xfId="1" applyNumberFormat="1" applyFont="1" applyFill="1" applyBorder="1" applyAlignment="1">
      <alignment horizontal="center" vertical="center" wrapText="1"/>
    </xf>
    <xf numFmtId="41" fontId="33" fillId="2" borderId="5" xfId="1" applyFont="1" applyFill="1" applyBorder="1" applyAlignment="1">
      <alignment horizontal="center" vertical="center"/>
    </xf>
    <xf numFmtId="41" fontId="33" fillId="2" borderId="12" xfId="1" applyFont="1" applyFill="1" applyBorder="1" applyAlignment="1">
      <alignment horizontal="center" vertical="center"/>
    </xf>
    <xf numFmtId="0" fontId="33" fillId="2" borderId="6" xfId="0" applyFont="1" applyFill="1" applyBorder="1" applyAlignment="1">
      <alignment horizontal="center" vertical="center"/>
    </xf>
    <xf numFmtId="0" fontId="33" fillId="2" borderId="13" xfId="0" applyFont="1" applyFill="1" applyBorder="1" applyAlignment="1">
      <alignment horizontal="center" vertical="center"/>
    </xf>
    <xf numFmtId="0" fontId="72" fillId="21" borderId="0" xfId="23" applyFont="1" applyAlignment="1">
      <alignment horizontal="center" vertical="center"/>
    </xf>
    <xf numFmtId="10" fontId="33" fillId="0" borderId="21" xfId="30" applyNumberFormat="1" applyFont="1" applyFill="1" applyBorder="1" applyAlignment="1">
      <alignment horizontal="center" vertical="center" shrinkToFit="1"/>
    </xf>
    <xf numFmtId="0" fontId="64" fillId="0" borderId="10" xfId="3" applyNumberFormat="1" applyFont="1" applyBorder="1" applyAlignment="1">
      <alignment horizontal="right" vertical="center"/>
    </xf>
    <xf numFmtId="0" fontId="64" fillId="2" borderId="33" xfId="3" applyNumberFormat="1" applyFont="1" applyFill="1" applyBorder="1" applyAlignment="1">
      <alignment horizontal="center" vertical="center"/>
    </xf>
    <xf numFmtId="176" fontId="64" fillId="2" borderId="5" xfId="4" applyNumberFormat="1" applyFont="1" applyFill="1" applyBorder="1" applyAlignment="1">
      <alignment horizontal="center" vertical="center" wrapText="1"/>
    </xf>
    <xf numFmtId="176" fontId="64" fillId="2" borderId="12" xfId="4" applyNumberFormat="1" applyFont="1" applyFill="1" applyBorder="1" applyAlignment="1">
      <alignment horizontal="center" vertical="center" wrapText="1"/>
    </xf>
    <xf numFmtId="224" fontId="64" fillId="2" borderId="5" xfId="4" applyNumberFormat="1" applyFont="1" applyFill="1" applyBorder="1" applyAlignment="1">
      <alignment horizontal="center" vertical="center"/>
    </xf>
    <xf numFmtId="224" fontId="64" fillId="2" borderId="12" xfId="4" applyNumberFormat="1" applyFont="1" applyFill="1" applyBorder="1" applyAlignment="1">
      <alignment horizontal="center" vertical="center"/>
    </xf>
    <xf numFmtId="185" fontId="64" fillId="0" borderId="0" xfId="24" applyNumberFormat="1" applyFont="1" applyFill="1" applyBorder="1" applyAlignment="1">
      <alignment horizontal="center" vertical="center"/>
    </xf>
    <xf numFmtId="10" fontId="33" fillId="0" borderId="0" xfId="30" applyNumberFormat="1" applyFont="1" applyFill="1" applyBorder="1" applyAlignment="1">
      <alignment horizontal="center" vertical="center" shrinkToFit="1"/>
    </xf>
    <xf numFmtId="0" fontId="64" fillId="4" borderId="26" xfId="3" applyNumberFormat="1" applyFont="1" applyFill="1" applyBorder="1" applyAlignment="1">
      <alignment vertical="center"/>
    </xf>
    <xf numFmtId="0" fontId="64" fillId="4" borderId="25" xfId="3" applyNumberFormat="1" applyFont="1" applyFill="1" applyBorder="1" applyAlignment="1">
      <alignment vertical="center"/>
    </xf>
    <xf numFmtId="0" fontId="64" fillId="4" borderId="39" xfId="3" applyNumberFormat="1" applyFont="1" applyFill="1" applyBorder="1" applyAlignment="1">
      <alignment vertical="center"/>
    </xf>
    <xf numFmtId="0" fontId="65" fillId="0" borderId="0" xfId="24" applyNumberFormat="1" applyFont="1" applyBorder="1">
      <alignment vertical="center"/>
    </xf>
    <xf numFmtId="0" fontId="65" fillId="0" borderId="0" xfId="24" applyNumberFormat="1" applyFont="1" applyBorder="1" applyAlignment="1">
      <alignment vertical="center"/>
    </xf>
    <xf numFmtId="186" fontId="55" fillId="0" borderId="0" xfId="24" applyNumberFormat="1" applyFont="1" applyFill="1" applyBorder="1" applyAlignment="1">
      <alignment horizontal="center" vertical="center" shrinkToFit="1"/>
    </xf>
    <xf numFmtId="0" fontId="55" fillId="0" borderId="0" xfId="24" applyNumberFormat="1" applyFont="1" applyBorder="1">
      <alignment vertical="center"/>
    </xf>
    <xf numFmtId="0" fontId="18" fillId="0" borderId="0" xfId="0" applyFont="1" applyAlignment="1">
      <alignment horizontal="center" vertical="center"/>
    </xf>
    <xf numFmtId="10" fontId="39" fillId="0" borderId="0" xfId="24" applyNumberFormat="1" applyFont="1" applyFill="1" applyBorder="1" applyAlignment="1">
      <alignment horizontal="center" vertical="center" shrinkToFit="1"/>
    </xf>
    <xf numFmtId="185" fontId="55" fillId="0" borderId="0" xfId="24" applyNumberFormat="1" applyFont="1" applyBorder="1" applyAlignment="1">
      <alignment horizontal="center" vertical="center"/>
    </xf>
    <xf numFmtId="185" fontId="39" fillId="0" borderId="0" xfId="0" applyNumberFormat="1" applyFont="1" applyBorder="1" applyAlignment="1">
      <alignment horizontal="center" vertical="center"/>
    </xf>
    <xf numFmtId="10" fontId="33" fillId="0" borderId="0" xfId="26" applyNumberFormat="1" applyFont="1" applyFill="1" applyBorder="1" applyAlignment="1">
      <alignment horizontal="center" vertical="center" shrinkToFit="1"/>
    </xf>
    <xf numFmtId="185" fontId="33" fillId="0" borderId="21" xfId="0" applyNumberFormat="1" applyFont="1" applyBorder="1" applyAlignment="1">
      <alignment horizontal="center" vertical="center"/>
    </xf>
    <xf numFmtId="0" fontId="64" fillId="4" borderId="20" xfId="3" applyNumberFormat="1" applyFont="1" applyFill="1" applyBorder="1" applyAlignment="1">
      <alignment horizontal="left" vertical="center"/>
    </xf>
    <xf numFmtId="0" fontId="64" fillId="4" borderId="21" xfId="3" applyNumberFormat="1" applyFont="1" applyFill="1" applyBorder="1" applyAlignment="1">
      <alignment horizontal="left" vertical="center"/>
    </xf>
    <xf numFmtId="0" fontId="64" fillId="4" borderId="44" xfId="3" applyNumberFormat="1" applyFont="1" applyFill="1" applyBorder="1" applyAlignment="1">
      <alignment horizontal="left" vertical="center"/>
    </xf>
    <xf numFmtId="186" fontId="65" fillId="0" borderId="0" xfId="24" applyNumberFormat="1" applyFont="1" applyFill="1" applyBorder="1" applyAlignment="1">
      <alignment horizontal="center" vertical="center" shrinkToFit="1"/>
    </xf>
    <xf numFmtId="185" fontId="65" fillId="0" borderId="0" xfId="24" applyNumberFormat="1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2" borderId="33" xfId="3" applyNumberFormat="1" applyFont="1" applyFill="1" applyBorder="1" applyAlignment="1">
      <alignment horizontal="center" vertical="center"/>
    </xf>
    <xf numFmtId="0" fontId="39" fillId="2" borderId="3" xfId="3" applyNumberFormat="1" applyFont="1" applyFill="1" applyBorder="1" applyAlignment="1">
      <alignment horizontal="center" vertical="center"/>
    </xf>
    <xf numFmtId="41" fontId="39" fillId="2" borderId="3" xfId="4" applyNumberFormat="1" applyFont="1" applyFill="1" applyBorder="1" applyAlignment="1">
      <alignment horizontal="center" vertical="center"/>
    </xf>
    <xf numFmtId="41" fontId="39" fillId="2" borderId="4" xfId="4" applyNumberFormat="1" applyFont="1" applyFill="1" applyBorder="1" applyAlignment="1">
      <alignment horizontal="center" vertical="center"/>
    </xf>
    <xf numFmtId="41" fontId="39" fillId="2" borderId="10" xfId="4" applyNumberFormat="1" applyFont="1" applyFill="1" applyBorder="1" applyAlignment="1">
      <alignment horizontal="center" vertical="center"/>
    </xf>
    <xf numFmtId="41" fontId="39" fillId="2" borderId="11" xfId="4" applyNumberFormat="1" applyFont="1" applyFill="1" applyBorder="1" applyAlignment="1">
      <alignment horizontal="center" vertical="center"/>
    </xf>
    <xf numFmtId="176" fontId="39" fillId="2" borderId="5" xfId="4" applyNumberFormat="1" applyFont="1" applyFill="1" applyBorder="1" applyAlignment="1">
      <alignment horizontal="center" vertical="center"/>
    </xf>
    <xf numFmtId="176" fontId="39" fillId="2" borderId="12" xfId="4" applyNumberFormat="1" applyFont="1" applyFill="1" applyBorder="1" applyAlignment="1">
      <alignment horizontal="center" vertical="center"/>
    </xf>
    <xf numFmtId="41" fontId="39" fillId="2" borderId="5" xfId="4" applyNumberFormat="1" applyFont="1" applyFill="1" applyBorder="1" applyAlignment="1">
      <alignment horizontal="center" vertical="center" wrapText="1"/>
    </xf>
    <xf numFmtId="41" fontId="39" fillId="2" borderId="12" xfId="4" applyNumberFormat="1" applyFont="1" applyFill="1" applyBorder="1" applyAlignment="1">
      <alignment horizontal="center" vertical="center" wrapText="1"/>
    </xf>
    <xf numFmtId="224" fontId="39" fillId="2" borderId="5" xfId="4" applyNumberFormat="1" applyFont="1" applyFill="1" applyBorder="1" applyAlignment="1">
      <alignment horizontal="center" vertical="center"/>
    </xf>
    <xf numFmtId="224" fontId="39" fillId="2" borderId="12" xfId="4" applyNumberFormat="1" applyFont="1" applyFill="1" applyBorder="1" applyAlignment="1">
      <alignment horizontal="center" vertical="center"/>
    </xf>
    <xf numFmtId="227" fontId="39" fillId="2" borderId="6" xfId="3" applyNumberFormat="1" applyFont="1" applyFill="1" applyBorder="1" applyAlignment="1">
      <alignment horizontal="center" vertical="center"/>
    </xf>
    <xf numFmtId="227" fontId="39" fillId="2" borderId="13" xfId="3" applyNumberFormat="1" applyFont="1" applyFill="1" applyBorder="1" applyAlignment="1">
      <alignment horizontal="center" vertical="center"/>
    </xf>
    <xf numFmtId="188" fontId="65" fillId="0" borderId="0" xfId="24" applyNumberFormat="1" applyFont="1" applyBorder="1" applyAlignment="1">
      <alignment horizontal="center" vertical="center"/>
    </xf>
    <xf numFmtId="186" fontId="39" fillId="0" borderId="0" xfId="24" applyNumberFormat="1" applyFont="1" applyFill="1" applyBorder="1" applyAlignment="1">
      <alignment horizontal="center" vertical="center" shrinkToFit="1"/>
    </xf>
    <xf numFmtId="0" fontId="33" fillId="0" borderId="0" xfId="0" applyFont="1" applyAlignment="1">
      <alignment horizontal="center" vertical="center"/>
    </xf>
    <xf numFmtId="188" fontId="39" fillId="0" borderId="0" xfId="26" applyNumberFormat="1" applyFont="1" applyBorder="1" applyAlignment="1">
      <alignment horizontal="center" vertical="center"/>
    </xf>
    <xf numFmtId="186" fontId="39" fillId="0" borderId="0" xfId="26" applyNumberFormat="1" applyFont="1" applyFill="1" applyBorder="1" applyAlignment="1">
      <alignment horizontal="center" vertical="center" shrinkToFit="1"/>
    </xf>
    <xf numFmtId="185" fontId="39" fillId="0" borderId="0" xfId="26" applyNumberFormat="1" applyFont="1" applyBorder="1" applyAlignment="1">
      <alignment horizontal="center" vertical="center"/>
    </xf>
    <xf numFmtId="188" fontId="99" fillId="0" borderId="0" xfId="24" applyNumberFormat="1" applyFont="1" applyBorder="1" applyAlignment="1">
      <alignment horizontal="center" vertical="center"/>
    </xf>
    <xf numFmtId="186" fontId="99" fillId="0" borderId="0" xfId="24" applyNumberFormat="1" applyFont="1" applyFill="1" applyBorder="1" applyAlignment="1">
      <alignment horizontal="center" vertical="center" shrinkToFit="1"/>
    </xf>
    <xf numFmtId="185" fontId="39" fillId="0" borderId="0" xfId="33" applyNumberFormat="1" applyFont="1" applyBorder="1" applyAlignment="1">
      <alignment horizontal="center" vertical="center"/>
    </xf>
    <xf numFmtId="186" fontId="39" fillId="0" borderId="0" xfId="33" applyNumberFormat="1" applyFont="1" applyFill="1" applyBorder="1" applyAlignment="1">
      <alignment horizontal="center" vertical="center" shrinkToFit="1"/>
    </xf>
    <xf numFmtId="49" fontId="39" fillId="0" borderId="0" xfId="33" applyNumberFormat="1" applyFont="1" applyBorder="1" applyAlignment="1">
      <alignment horizontal="center" vertical="center"/>
    </xf>
    <xf numFmtId="41" fontId="33" fillId="2" borderId="55" xfId="1" applyFont="1" applyFill="1" applyBorder="1" applyAlignment="1">
      <alignment horizontal="center" vertical="center"/>
    </xf>
    <xf numFmtId="41" fontId="33" fillId="2" borderId="50" xfId="1" applyFont="1" applyFill="1" applyBorder="1" applyAlignment="1">
      <alignment horizontal="center" vertical="center"/>
    </xf>
    <xf numFmtId="0" fontId="59" fillId="19" borderId="0" xfId="21" applyFont="1" applyAlignment="1">
      <alignment horizontal="center" vertical="center"/>
    </xf>
    <xf numFmtId="185" fontId="65" fillId="0" borderId="0" xfId="40" applyNumberFormat="1" applyFont="1" applyBorder="1" applyAlignment="1">
      <alignment horizontal="center" vertical="center"/>
    </xf>
    <xf numFmtId="0" fontId="24" fillId="0" borderId="0" xfId="11" applyFont="1" applyAlignment="1">
      <alignment horizontal="center" vertical="center"/>
    </xf>
    <xf numFmtId="0" fontId="33" fillId="0" borderId="0" xfId="11" applyFont="1" applyAlignment="1">
      <alignment horizontal="center" vertical="center"/>
    </xf>
    <xf numFmtId="0" fontId="33" fillId="0" borderId="10" xfId="11" applyFont="1" applyBorder="1" applyAlignment="1">
      <alignment horizontal="right" vertical="center"/>
    </xf>
    <xf numFmtId="0" fontId="33" fillId="0" borderId="20" xfId="0" applyFont="1" applyFill="1" applyBorder="1" applyAlignment="1">
      <alignment horizontal="left" vertical="center"/>
    </xf>
    <xf numFmtId="0" fontId="33" fillId="0" borderId="21" xfId="0" applyFont="1" applyFill="1" applyBorder="1" applyAlignment="1">
      <alignment horizontal="left" vertical="center"/>
    </xf>
    <xf numFmtId="0" fontId="33" fillId="0" borderId="44" xfId="0" applyFont="1" applyFill="1" applyBorder="1" applyAlignment="1">
      <alignment horizontal="left" vertical="center"/>
    </xf>
    <xf numFmtId="186" fontId="39" fillId="0" borderId="21" xfId="26" applyNumberFormat="1" applyFont="1" applyFill="1" applyBorder="1" applyAlignment="1">
      <alignment horizontal="center" vertical="center" shrinkToFit="1"/>
    </xf>
    <xf numFmtId="0" fontId="64" fillId="2" borderId="33" xfId="24" applyNumberFormat="1" applyFont="1" applyFill="1" applyBorder="1" applyAlignment="1">
      <alignment horizontal="center" vertical="center"/>
    </xf>
    <xf numFmtId="0" fontId="64" fillId="2" borderId="3" xfId="24" applyNumberFormat="1" applyFont="1" applyFill="1" applyBorder="1" applyAlignment="1">
      <alignment horizontal="center" vertical="center"/>
    </xf>
    <xf numFmtId="188" fontId="55" fillId="0" borderId="0" xfId="24" applyNumberFormat="1" applyFont="1" applyBorder="1" applyAlignment="1">
      <alignment horizontal="center" vertical="center"/>
    </xf>
    <xf numFmtId="188" fontId="68" fillId="0" borderId="0" xfId="24" applyNumberFormat="1" applyFont="1" applyBorder="1" applyAlignment="1">
      <alignment horizontal="center" vertical="center"/>
    </xf>
  </cellXfs>
  <cellStyles count="49">
    <cellStyle name="강조색5" xfId="23" builtinId="45"/>
    <cellStyle name="나쁨" xfId="22" builtinId="27"/>
    <cellStyle name="백분율" xfId="2" builtinId="5"/>
    <cellStyle name="백분율 2" xfId="13" xr:uid="{00000000-0005-0000-0000-000003000000}"/>
    <cellStyle name="백분율 2 2" xfId="17" xr:uid="{00000000-0005-0000-0000-000004000000}"/>
    <cellStyle name="백분율 2 3 3" xfId="42" xr:uid="{00000000-0005-0000-0000-000005000000}"/>
    <cellStyle name="백분율 3" xfId="16" xr:uid="{00000000-0005-0000-0000-000006000000}"/>
    <cellStyle name="백분율 4" xfId="5" xr:uid="{00000000-0005-0000-0000-000007000000}"/>
    <cellStyle name="백분율 4 2" xfId="29" xr:uid="{00000000-0005-0000-0000-000008000000}"/>
    <cellStyle name="백분율 5" xfId="28" xr:uid="{00000000-0005-0000-0000-000009000000}"/>
    <cellStyle name="백분율 6" xfId="32" xr:uid="{00000000-0005-0000-0000-00000A000000}"/>
    <cellStyle name="쉼표 [0]" xfId="1" builtinId="6"/>
    <cellStyle name="쉼표 [0] 3 2" xfId="18" xr:uid="{00000000-0005-0000-0000-00000C000000}"/>
    <cellStyle name="쉼표 [0] 4" xfId="7" xr:uid="{00000000-0005-0000-0000-00000D000000}"/>
    <cellStyle name="쉼표 [0] 4 2" xfId="6" xr:uid="{00000000-0005-0000-0000-00000E000000}"/>
    <cellStyle name="쉼표 [0] 4 2 2" xfId="10" xr:uid="{00000000-0005-0000-0000-00000F000000}"/>
    <cellStyle name="쉼표 [0] 5" xfId="12" xr:uid="{00000000-0005-0000-0000-000010000000}"/>
    <cellStyle name="쉼표 [0] 5 2 2" xfId="41" xr:uid="{00000000-0005-0000-0000-000011000000}"/>
    <cellStyle name="쉼표 [0] 5 2 2 2" xfId="46" xr:uid="{00000000-0005-0000-0000-000012000000}"/>
    <cellStyle name="쉼표 [0] 6" xfId="4" xr:uid="{00000000-0005-0000-0000-000013000000}"/>
    <cellStyle name="쉼표 [0] 6 2" xfId="25" xr:uid="{00000000-0005-0000-0000-000014000000}"/>
    <cellStyle name="쉼표 [0] 6 2 2" xfId="47" xr:uid="{00000000-0005-0000-0000-000015000000}"/>
    <cellStyle name="쉼표 [0] 7" xfId="27" xr:uid="{00000000-0005-0000-0000-000016000000}"/>
    <cellStyle name="쉼표 [0] 7 2" xfId="48" xr:uid="{00000000-0005-0000-0000-000017000000}"/>
    <cellStyle name="쉼표 [0] 7 3" xfId="37" xr:uid="{00000000-0005-0000-0000-000018000000}"/>
    <cellStyle name="쉼표 [0] 7 5" xfId="43" xr:uid="{00000000-0005-0000-0000-000019000000}"/>
    <cellStyle name="쉼표 [0] 8" xfId="31" xr:uid="{00000000-0005-0000-0000-00001A000000}"/>
    <cellStyle name="쉼표 [0] 8 4" xfId="35" xr:uid="{00000000-0005-0000-0000-00001B000000}"/>
    <cellStyle name="좋음" xfId="21" builtinId="26"/>
    <cellStyle name="통화 [0]" xfId="39" builtinId="7"/>
    <cellStyle name="표준" xfId="0" builtinId="0"/>
    <cellStyle name="표준 2" xfId="9" xr:uid="{00000000-0005-0000-0000-00001F000000}"/>
    <cellStyle name="표준 3" xfId="11" xr:uid="{00000000-0005-0000-0000-000020000000}"/>
    <cellStyle name="표준 3 2" xfId="20" xr:uid="{00000000-0005-0000-0000-000021000000}"/>
    <cellStyle name="표준 3 2 2 2 2" xfId="45" xr:uid="{00000000-0005-0000-0000-000022000000}"/>
    <cellStyle name="표준 3 2 3" xfId="40" xr:uid="{00000000-0005-0000-0000-000023000000}"/>
    <cellStyle name="표준 4 2" xfId="14" xr:uid="{00000000-0005-0000-0000-000024000000}"/>
    <cellStyle name="표준 4 2 2" xfId="44" xr:uid="{00000000-0005-0000-0000-000025000000}"/>
    <cellStyle name="표준 5" xfId="3" xr:uid="{00000000-0005-0000-0000-000026000000}"/>
    <cellStyle name="표준 5 2" xfId="24" xr:uid="{00000000-0005-0000-0000-000027000000}"/>
    <cellStyle name="표준 6" xfId="26" xr:uid="{00000000-0005-0000-0000-000028000000}"/>
    <cellStyle name="표준 6 2 2" xfId="36" xr:uid="{00000000-0005-0000-0000-000029000000}"/>
    <cellStyle name="표준 6 3" xfId="38" xr:uid="{00000000-0005-0000-0000-00002A000000}"/>
    <cellStyle name="표준 6 5" xfId="33" xr:uid="{00000000-0005-0000-0000-00002B000000}"/>
    <cellStyle name="표준 7" xfId="30" xr:uid="{00000000-0005-0000-0000-00002C000000}"/>
    <cellStyle name="표준 7 4" xfId="34" xr:uid="{00000000-0005-0000-0000-00002D000000}"/>
    <cellStyle name="표준_05년방배예산서(4차최종)" xfId="15" xr:uid="{00000000-0005-0000-0000-00002E000000}"/>
    <cellStyle name="표준_청소년수련관예산평성서식(수정)(1)" xfId="8" xr:uid="{00000000-0005-0000-0000-00002F000000}"/>
    <cellStyle name="하이퍼링크" xfId="19" builtinId="8"/>
  </cellStyles>
  <dxfs count="0"/>
  <tableStyles count="0" defaultTableStyle="TableStyleMedium2" defaultPivotStyle="PivotStyleLight16"/>
  <colors>
    <mruColors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2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8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4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285072</xdr:colOff>
      <xdr:row>39</xdr:row>
      <xdr:rowOff>135390</xdr:rowOff>
    </xdr:from>
    <xdr:to>
      <xdr:col>16</xdr:col>
      <xdr:colOff>71437</xdr:colOff>
      <xdr:row>49</xdr:row>
      <xdr:rowOff>91128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0760" y="9731828"/>
          <a:ext cx="4929865" cy="2098863"/>
        </a:xfrm>
        <a:prstGeom prst="rect">
          <a:avLst/>
        </a:prstGeom>
      </xdr:spPr>
    </xdr:pic>
    <xdr:clientData/>
  </xdr:twoCellAnchor>
  <xdr:twoCellAnchor editAs="oneCell">
    <xdr:from>
      <xdr:col>5</xdr:col>
      <xdr:colOff>409573</xdr:colOff>
      <xdr:row>13</xdr:row>
      <xdr:rowOff>322487</xdr:rowOff>
    </xdr:from>
    <xdr:to>
      <xdr:col>21</xdr:col>
      <xdr:colOff>231321</xdr:colOff>
      <xdr:row>34</xdr:row>
      <xdr:rowOff>120594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2386" y="3108550"/>
          <a:ext cx="13037685" cy="5536919"/>
        </a:xfrm>
        <a:prstGeom prst="rect">
          <a:avLst/>
        </a:prstGeom>
      </xdr:spPr>
    </xdr:pic>
    <xdr:clientData/>
  </xdr:twoCellAnchor>
  <xdr:twoCellAnchor editAs="oneCell">
    <xdr:from>
      <xdr:col>22</xdr:col>
      <xdr:colOff>367393</xdr:colOff>
      <xdr:row>1</xdr:row>
      <xdr:rowOff>78241</xdr:rowOff>
    </xdr:from>
    <xdr:to>
      <xdr:col>26</xdr:col>
      <xdr:colOff>276520</xdr:colOff>
      <xdr:row>5</xdr:row>
      <xdr:rowOff>95249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26706" y="292554"/>
          <a:ext cx="2671377" cy="8742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380518</xdr:colOff>
      <xdr:row>9</xdr:row>
      <xdr:rowOff>27163</xdr:rowOff>
    </xdr:from>
    <xdr:to>
      <xdr:col>11</xdr:col>
      <xdr:colOff>9525</xdr:colOff>
      <xdr:row>13</xdr:row>
      <xdr:rowOff>27645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066318" y="1913113"/>
          <a:ext cx="6487007" cy="1410182"/>
          <a:chOff x="2180743" y="1979788"/>
          <a:chExt cx="6487007" cy="1410182"/>
        </a:xfrm>
      </xdr:grpSpPr>
      <xdr:sp macro="" textlink="">
        <xdr:nvSpPr>
          <xdr:cNvPr id="3" name="자유형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3088980" y="2133600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4000" b="1" kern="1200">
                <a:latin typeface="+mj-ea"/>
                <a:ea typeface="+mj-ea"/>
              </a:rPr>
              <a:t>예 산 총 칙</a:t>
            </a:r>
          </a:p>
        </xdr:txBody>
      </xdr:sp>
      <xdr:sp macro="" textlink="">
        <xdr:nvSpPr>
          <xdr:cNvPr id="4" name="타원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2180743" y="1979788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73</xdr:row>
          <xdr:rowOff>47625</xdr:rowOff>
        </xdr:from>
        <xdr:to>
          <xdr:col>3</xdr:col>
          <xdr:colOff>1895475</xdr:colOff>
          <xdr:row>76</xdr:row>
          <xdr:rowOff>250686</xdr:rowOff>
        </xdr:to>
        <xdr:pic>
          <xdr:nvPicPr>
            <xdr:cNvPr id="2" name="그림 1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2]Sheet1!$A$1:$F$2" spid="_x0000_s21386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171575" y="19192875"/>
              <a:ext cx="5943600" cy="974586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19049</xdr:colOff>
          <xdr:row>80</xdr:row>
          <xdr:rowOff>9525</xdr:rowOff>
        </xdr:from>
        <xdr:to>
          <xdr:col>3</xdr:col>
          <xdr:colOff>1885949</xdr:colOff>
          <xdr:row>83</xdr:row>
          <xdr:rowOff>211025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2]Sheet1!$A$5:$F$6" spid="_x0000_s21387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171574" y="13858875"/>
              <a:ext cx="5934075" cy="973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104</xdr:row>
          <xdr:rowOff>9525</xdr:rowOff>
        </xdr:from>
        <xdr:to>
          <xdr:col>3</xdr:col>
          <xdr:colOff>1714501</xdr:colOff>
          <xdr:row>107</xdr:row>
          <xdr:rowOff>182911</xdr:rowOff>
        </xdr:to>
        <xdr:pic>
          <xdr:nvPicPr>
            <xdr:cNvPr id="4" name="그림 3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2]Sheet1!$A$13:$F$14" spid="_x0000_s213871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171575" y="19583400"/>
              <a:ext cx="5762626" cy="944911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98</xdr:row>
          <xdr:rowOff>47625</xdr:rowOff>
        </xdr:from>
        <xdr:to>
          <xdr:col>3</xdr:col>
          <xdr:colOff>1743075</xdr:colOff>
          <xdr:row>101</xdr:row>
          <xdr:rowOff>90308</xdr:rowOff>
        </xdr:to>
        <xdr:pic>
          <xdr:nvPicPr>
            <xdr:cNvPr id="5" name="그림 4">
              <a:extLst>
                <a:ext uri="{FF2B5EF4-FFF2-40B4-BE49-F238E27FC236}">
                  <a16:creationId xmlns:a16="http://schemas.microsoft.com/office/drawing/2014/main" id="{00000000-0008-0000-0300-00000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2]Sheet1!$A$9:$G$10" spid="_x0000_s213872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71575" y="24593550"/>
              <a:ext cx="5791200" cy="814208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380518</xdr:colOff>
      <xdr:row>9</xdr:row>
      <xdr:rowOff>27163</xdr:rowOff>
    </xdr:from>
    <xdr:to>
      <xdr:col>10</xdr:col>
      <xdr:colOff>676275</xdr:colOff>
      <xdr:row>13</xdr:row>
      <xdr:rowOff>27645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1066318" y="1913113"/>
          <a:ext cx="6467957" cy="1410182"/>
          <a:chOff x="2180743" y="1979788"/>
          <a:chExt cx="6467957" cy="1410182"/>
        </a:xfrm>
      </xdr:grpSpPr>
      <xdr:sp macro="" textlink="">
        <xdr:nvSpPr>
          <xdr:cNvPr id="3" name="자유형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3069930" y="2133600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en-US" altLang="ko-KR" sz="2800" b="1" kern="1200">
                <a:latin typeface="+mj-ea"/>
                <a:ea typeface="+mj-ea"/>
              </a:rPr>
              <a:t>2019</a:t>
            </a:r>
            <a:r>
              <a:rPr lang="ko-KR" altLang="en-US" sz="2800" b="1" kern="1200">
                <a:latin typeface="+mj-ea"/>
                <a:ea typeface="+mj-ea"/>
              </a:rPr>
              <a:t>년 세입</a:t>
            </a:r>
            <a:r>
              <a:rPr lang="en-US" altLang="ko-KR" sz="2800" b="1" kern="1200" baseline="0">
                <a:latin typeface="+mj-ea"/>
                <a:ea typeface="+mj-ea"/>
              </a:rPr>
              <a:t>·</a:t>
            </a:r>
            <a:r>
              <a:rPr lang="ko-KR" altLang="en-US" sz="2800" b="1" kern="1200">
                <a:latin typeface="+mj-ea"/>
                <a:ea typeface="+mj-ea"/>
              </a:rPr>
              <a:t>세출예산</a:t>
            </a:r>
            <a:r>
              <a:rPr lang="en-US" altLang="ko-KR" sz="2800" b="1" kern="1200">
                <a:latin typeface="+mj-ea"/>
                <a:ea typeface="+mj-ea"/>
              </a:rPr>
              <a:t>(</a:t>
            </a:r>
            <a:r>
              <a:rPr lang="ko-KR" altLang="en-US" sz="2800" b="1" kern="1200">
                <a:latin typeface="+mj-ea"/>
                <a:ea typeface="+mj-ea"/>
              </a:rPr>
              <a:t>안</a:t>
            </a:r>
            <a:r>
              <a:rPr lang="en-US" altLang="ko-KR" sz="2800" b="1" kern="1200">
                <a:latin typeface="+mj-ea"/>
                <a:ea typeface="+mj-ea"/>
              </a:rPr>
              <a:t>)</a:t>
            </a:r>
            <a:endParaRPr lang="ko-KR" altLang="en-US" sz="2800" b="1" kern="1200">
              <a:latin typeface="+mj-ea"/>
              <a:ea typeface="+mj-ea"/>
            </a:endParaRPr>
          </a:p>
        </xdr:txBody>
      </xdr:sp>
      <xdr:sp macro="" textlink="">
        <xdr:nvSpPr>
          <xdr:cNvPr id="4" name="타원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2180743" y="1979788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380518</xdr:colOff>
      <xdr:row>9</xdr:row>
      <xdr:rowOff>27163</xdr:rowOff>
    </xdr:from>
    <xdr:to>
      <xdr:col>11</xdr:col>
      <xdr:colOff>9525</xdr:colOff>
      <xdr:row>13</xdr:row>
      <xdr:rowOff>27645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/>
      </xdr:nvGrpSpPr>
      <xdr:grpSpPr>
        <a:xfrm>
          <a:off x="1066318" y="1913113"/>
          <a:ext cx="6487007" cy="1410182"/>
          <a:chOff x="2180743" y="1979788"/>
          <a:chExt cx="6487007" cy="1410182"/>
        </a:xfrm>
      </xdr:grpSpPr>
      <xdr:sp macro="" textlink="">
        <xdr:nvSpPr>
          <xdr:cNvPr id="3" name="자유형 2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/>
        </xdr:nvSpPr>
        <xdr:spPr>
          <a:xfrm>
            <a:off x="3088980" y="2133600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3600" b="1" kern="1200">
                <a:latin typeface="+mj-ea"/>
                <a:ea typeface="+mj-ea"/>
              </a:rPr>
              <a:t>세입예산 사업내역서</a:t>
            </a:r>
          </a:p>
        </xdr:txBody>
      </xdr:sp>
      <xdr:sp macro="" textlink="">
        <xdr:nvSpPr>
          <xdr:cNvPr id="4" name="타원 3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/>
        </xdr:nvSpPr>
        <xdr:spPr>
          <a:xfrm>
            <a:off x="2180743" y="1979788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380518</xdr:colOff>
      <xdr:row>9</xdr:row>
      <xdr:rowOff>27163</xdr:rowOff>
    </xdr:from>
    <xdr:to>
      <xdr:col>11</xdr:col>
      <xdr:colOff>9525</xdr:colOff>
      <xdr:row>13</xdr:row>
      <xdr:rowOff>27645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pSpPr/>
      </xdr:nvGrpSpPr>
      <xdr:grpSpPr>
        <a:xfrm>
          <a:off x="1066318" y="1913113"/>
          <a:ext cx="6487007" cy="1410182"/>
          <a:chOff x="2180743" y="1979788"/>
          <a:chExt cx="6487007" cy="1410182"/>
        </a:xfrm>
      </xdr:grpSpPr>
      <xdr:sp macro="" textlink="">
        <xdr:nvSpPr>
          <xdr:cNvPr id="3" name="자유형 2">
            <a:extLst>
              <a:ext uri="{FF2B5EF4-FFF2-40B4-BE49-F238E27FC236}">
                <a16:creationId xmlns:a16="http://schemas.microsoft.com/office/drawing/2014/main" id="{00000000-0008-0000-1800-000003000000}"/>
              </a:ext>
            </a:extLst>
          </xdr:cNvPr>
          <xdr:cNvSpPr/>
        </xdr:nvSpPr>
        <xdr:spPr>
          <a:xfrm>
            <a:off x="3088980" y="2133600"/>
            <a:ext cx="5578770" cy="1204911"/>
          </a:xfrm>
          <a:custGeom>
            <a:avLst/>
            <a:gdLst>
              <a:gd name="connsiteX0" fmla="*/ 0 w 3335631"/>
              <a:gd name="connsiteY0" fmla="*/ 0 h 1185856"/>
              <a:gd name="connsiteX1" fmla="*/ 2742703 w 3335631"/>
              <a:gd name="connsiteY1" fmla="*/ 0 h 1185856"/>
              <a:gd name="connsiteX2" fmla="*/ 3335631 w 3335631"/>
              <a:gd name="connsiteY2" fmla="*/ 592928 h 1185856"/>
              <a:gd name="connsiteX3" fmla="*/ 2742703 w 3335631"/>
              <a:gd name="connsiteY3" fmla="*/ 1185856 h 1185856"/>
              <a:gd name="connsiteX4" fmla="*/ 0 w 3335631"/>
              <a:gd name="connsiteY4" fmla="*/ 1185856 h 1185856"/>
              <a:gd name="connsiteX5" fmla="*/ 0 w 3335631"/>
              <a:gd name="connsiteY5" fmla="*/ 0 h 11858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335631" h="1185856">
                <a:moveTo>
                  <a:pt x="3335631" y="1185855"/>
                </a:moveTo>
                <a:lnTo>
                  <a:pt x="592928" y="1185855"/>
                </a:lnTo>
                <a:lnTo>
                  <a:pt x="0" y="592928"/>
                </a:lnTo>
                <a:lnTo>
                  <a:pt x="592928" y="1"/>
                </a:lnTo>
                <a:lnTo>
                  <a:pt x="3335631" y="1"/>
                </a:lnTo>
                <a:lnTo>
                  <a:pt x="3335631" y="1185855"/>
                </a:lnTo>
                <a:close/>
              </a:path>
            </a:pathLst>
          </a:custGeom>
          <a:solidFill>
            <a:schemeClr val="accent5">
              <a:lumMod val="75000"/>
            </a:schemeClr>
          </a:solidFill>
          <a:ln w="28575">
            <a:solidFill>
              <a:schemeClr val="bg1">
                <a:lumMod val="50000"/>
              </a:schemeClr>
            </a:solidFill>
          </a:ln>
        </xdr:spPr>
        <xdr:style>
          <a:lnRef idx="2">
            <a:scrgbClr r="0" g="0" b="0"/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71866" tIns="121920" rIns="227584" bIns="121921" numCol="1" spcCol="1270" anchor="ctr" anchorCtr="0">
            <a:noAutofit/>
          </a:bodyPr>
          <a:lstStyle/>
          <a:p>
            <a:pPr lvl="0" algn="ctr" defTabSz="142240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3600" b="1" kern="1200">
                <a:latin typeface="+mj-ea"/>
                <a:ea typeface="+mj-ea"/>
              </a:rPr>
              <a:t>세출예산 사업내역서</a:t>
            </a:r>
          </a:p>
        </xdr:txBody>
      </xdr:sp>
      <xdr:sp macro="" textlink="">
        <xdr:nvSpPr>
          <xdr:cNvPr id="4" name="타원 3">
            <a:extLst>
              <a:ext uri="{FF2B5EF4-FFF2-40B4-BE49-F238E27FC236}">
                <a16:creationId xmlns:a16="http://schemas.microsoft.com/office/drawing/2014/main" id="{00000000-0008-0000-1800-000004000000}"/>
              </a:ext>
            </a:extLst>
          </xdr:cNvPr>
          <xdr:cNvSpPr/>
        </xdr:nvSpPr>
        <xdr:spPr>
          <a:xfrm>
            <a:off x="2180743" y="1979788"/>
            <a:ext cx="1410182" cy="1410182"/>
          </a:xfrm>
          <a:prstGeom prst="ellipse">
            <a:avLst/>
          </a:prstGeom>
          <a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 l="-7000" r="-7000"/>
            </a:stretch>
          </a:blipFill>
          <a:ln w="3810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608;&#50857;&#50868;\&#50696;&#49328;&#54924;&#44228;\2006&#50868;&#50689;&#48372;&#51312;&#44552;&#44368;&#48512;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7&#45380;_&#52397;&#49548;&#45380;&#51116;&#45800;%20&#50696;&#49328;&#52509;&#44292;&#54364;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기별교부현황"/>
      <sheetName val="정산현황"/>
      <sheetName val="추산계좌(2분기)"/>
      <sheetName val="7월분지출결의서"/>
      <sheetName val="8월분지출결의서 "/>
      <sheetName val="9월분지출결의서 "/>
      <sheetName val="추산계좌(3분기)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예산총칙"/>
      <sheetName val="Sheet1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F9:V20"/>
  <sheetViews>
    <sheetView view="pageBreakPreview" zoomScale="40" zoomScaleNormal="70" zoomScaleSheetLayoutView="40" workbookViewId="0">
      <selection activeCell="W20" sqref="W20"/>
    </sheetView>
  </sheetViews>
  <sheetFormatPr defaultRowHeight="16.5"/>
  <cols>
    <col min="7" max="7" width="9" customWidth="1"/>
    <col min="8" max="20" width="11.125" customWidth="1"/>
  </cols>
  <sheetData>
    <row r="9" spans="6:22">
      <c r="F9" s="3557" t="s">
        <v>1553</v>
      </c>
      <c r="G9" s="3557"/>
      <c r="H9" s="3557"/>
      <c r="I9" s="3557"/>
      <c r="J9" s="3557"/>
      <c r="K9" s="3557"/>
      <c r="L9" s="3557"/>
      <c r="M9" s="3557"/>
      <c r="N9" s="3557"/>
      <c r="O9" s="3557"/>
      <c r="P9" s="3557"/>
      <c r="Q9" s="3557"/>
      <c r="R9" s="3557"/>
      <c r="S9" s="3557"/>
      <c r="T9" s="3557"/>
      <c r="U9" s="3557"/>
      <c r="V9" s="3557"/>
    </row>
    <row r="10" spans="6:22">
      <c r="F10" s="3557"/>
      <c r="G10" s="3557"/>
      <c r="H10" s="3557"/>
      <c r="I10" s="3557"/>
      <c r="J10" s="3557"/>
      <c r="K10" s="3557"/>
      <c r="L10" s="3557"/>
      <c r="M10" s="3557"/>
      <c r="N10" s="3557"/>
      <c r="O10" s="3557"/>
      <c r="P10" s="3557"/>
      <c r="Q10" s="3557"/>
      <c r="R10" s="3557"/>
      <c r="S10" s="3557"/>
      <c r="T10" s="3557"/>
      <c r="U10" s="3557"/>
      <c r="V10" s="3557"/>
    </row>
    <row r="11" spans="6:22" ht="16.5" customHeight="1">
      <c r="F11" s="3557"/>
      <c r="G11" s="3557"/>
      <c r="H11" s="3557"/>
      <c r="I11" s="3557"/>
      <c r="J11" s="3557"/>
      <c r="K11" s="3557"/>
      <c r="L11" s="3557"/>
      <c r="M11" s="3557"/>
      <c r="N11" s="3557"/>
      <c r="O11" s="3557"/>
      <c r="P11" s="3557"/>
      <c r="Q11" s="3557"/>
      <c r="R11" s="3557"/>
      <c r="S11" s="3557"/>
      <c r="T11" s="3557"/>
      <c r="U11" s="3557"/>
      <c r="V11" s="3557"/>
    </row>
    <row r="12" spans="6:22" ht="16.5" customHeight="1">
      <c r="F12" s="3557"/>
      <c r="G12" s="3557"/>
      <c r="H12" s="3557"/>
      <c r="I12" s="3557"/>
      <c r="J12" s="3557"/>
      <c r="K12" s="3557"/>
      <c r="L12" s="3557"/>
      <c r="M12" s="3557"/>
      <c r="N12" s="3557"/>
      <c r="O12" s="3557"/>
      <c r="P12" s="3557"/>
      <c r="Q12" s="3557"/>
      <c r="R12" s="3557"/>
      <c r="S12" s="3557"/>
      <c r="T12" s="3557"/>
      <c r="U12" s="3557"/>
      <c r="V12" s="3557"/>
    </row>
    <row r="13" spans="6:22" ht="16.5" customHeight="1">
      <c r="F13" s="3557"/>
      <c r="G13" s="3557"/>
      <c r="H13" s="3557"/>
      <c r="I13" s="3557"/>
      <c r="J13" s="3557"/>
      <c r="K13" s="3557"/>
      <c r="L13" s="3557"/>
      <c r="M13" s="3557"/>
      <c r="N13" s="3557"/>
      <c r="O13" s="3557"/>
      <c r="P13" s="3557"/>
      <c r="Q13" s="3557"/>
      <c r="R13" s="3557"/>
      <c r="S13" s="3557"/>
      <c r="T13" s="3557"/>
      <c r="U13" s="3557"/>
      <c r="V13" s="3557"/>
    </row>
    <row r="14" spans="6:22" ht="61.5" customHeight="1">
      <c r="F14" s="3557"/>
      <c r="G14" s="3557"/>
      <c r="H14" s="3557"/>
      <c r="I14" s="3557"/>
      <c r="J14" s="3557"/>
      <c r="K14" s="3557"/>
      <c r="L14" s="3557"/>
      <c r="M14" s="3557"/>
      <c r="N14" s="3557"/>
      <c r="O14" s="3557"/>
      <c r="P14" s="3557"/>
      <c r="Q14" s="3557"/>
      <c r="R14" s="3557"/>
      <c r="S14" s="3557"/>
      <c r="T14" s="3557"/>
      <c r="U14" s="3557"/>
      <c r="V14" s="3557"/>
    </row>
    <row r="20" spans="19:19" ht="69.75">
      <c r="S20" s="127"/>
    </row>
  </sheetData>
  <mergeCells count="1">
    <mergeCell ref="F9:V14"/>
  </mergeCells>
  <phoneticPr fontId="4" type="noConversion"/>
  <printOptions horizontalCentered="1" verticalCentered="1"/>
  <pageMargins left="0.25" right="0.25" top="0.75" bottom="0.75" header="0.3" footer="0.3"/>
  <pageSetup paperSize="9" scale="48" firstPageNumber="6" fitToHeight="0" orientation="landscape" useFirstPageNumber="1" r:id="rId1"/>
  <rowBreaks count="1" manualBreakCount="1">
    <brk id="48" max="2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C1:F46"/>
  <sheetViews>
    <sheetView view="pageBreakPreview" zoomScaleNormal="100" zoomScaleSheetLayoutView="100" workbookViewId="0">
      <selection activeCell="K16" sqref="K16"/>
    </sheetView>
  </sheetViews>
  <sheetFormatPr defaultRowHeight="16.5"/>
  <cols>
    <col min="1" max="2" width="9.625" style="66" customWidth="1"/>
    <col min="3" max="3" width="5.625" style="66" customWidth="1"/>
    <col min="4" max="4" width="54.125" style="130" customWidth="1"/>
    <col min="5" max="5" width="44.5" style="66" customWidth="1"/>
    <col min="6" max="6" width="7" style="66" customWidth="1"/>
    <col min="7" max="8" width="9.625" style="66" customWidth="1"/>
    <col min="9" max="16384" width="9" style="66"/>
  </cols>
  <sheetData>
    <row r="1" spans="3:6" ht="38.25" customHeight="1">
      <c r="D1" s="3562" t="s">
        <v>2962</v>
      </c>
      <c r="E1" s="3562"/>
    </row>
    <row r="2" spans="3:6" ht="12.75" customHeight="1">
      <c r="D2" s="233"/>
      <c r="E2" s="233"/>
      <c r="F2" s="240"/>
    </row>
    <row r="3" spans="3:6" ht="16.5" customHeight="1">
      <c r="C3" s="3560">
        <v>1</v>
      </c>
      <c r="D3" s="3558" t="s">
        <v>2963</v>
      </c>
      <c r="E3" s="235"/>
      <c r="F3" s="3559">
        <v>8</v>
      </c>
    </row>
    <row r="4" spans="3:6" ht="16.5" customHeight="1">
      <c r="C4" s="3560"/>
      <c r="D4" s="3558"/>
      <c r="E4" s="236"/>
      <c r="F4" s="3559"/>
    </row>
    <row r="5" spans="3:6" ht="16.5" customHeight="1">
      <c r="C5" s="3560">
        <v>2</v>
      </c>
      <c r="D5" s="3558" t="s">
        <v>2964</v>
      </c>
      <c r="E5" s="235"/>
      <c r="F5" s="3559">
        <v>14</v>
      </c>
    </row>
    <row r="6" spans="3:6" ht="16.5" customHeight="1">
      <c r="C6" s="3560"/>
      <c r="D6" s="3558"/>
      <c r="E6" s="236"/>
      <c r="F6" s="3559"/>
    </row>
    <row r="7" spans="3:6" ht="16.5" customHeight="1">
      <c r="C7" s="3560"/>
      <c r="D7" s="3558" t="s">
        <v>1554</v>
      </c>
      <c r="E7" s="235"/>
      <c r="F7" s="3559">
        <v>15</v>
      </c>
    </row>
    <row r="8" spans="3:6" ht="16.5" customHeight="1">
      <c r="C8" s="3560"/>
      <c r="D8" s="3558"/>
      <c r="E8" s="236"/>
      <c r="F8" s="3559"/>
    </row>
    <row r="9" spans="3:6" ht="16.5" customHeight="1">
      <c r="C9" s="3560"/>
      <c r="D9" s="3558" t="s">
        <v>2965</v>
      </c>
      <c r="E9" s="235"/>
      <c r="F9" s="3559">
        <v>16</v>
      </c>
    </row>
    <row r="10" spans="3:6" ht="16.5" customHeight="1">
      <c r="C10" s="3560"/>
      <c r="D10" s="3558"/>
      <c r="E10" s="236"/>
      <c r="F10" s="3559"/>
    </row>
    <row r="11" spans="3:6" ht="16.5" customHeight="1">
      <c r="C11" s="3560"/>
      <c r="D11" s="3558" t="s">
        <v>1555</v>
      </c>
      <c r="E11" s="235"/>
      <c r="F11" s="3559">
        <v>17</v>
      </c>
    </row>
    <row r="12" spans="3:6" ht="16.5" customHeight="1">
      <c r="C12" s="3560"/>
      <c r="D12" s="3558"/>
      <c r="E12" s="236"/>
      <c r="F12" s="3559"/>
    </row>
    <row r="13" spans="3:6" ht="16.5" customHeight="1">
      <c r="C13" s="3560"/>
      <c r="D13" s="3558" t="s">
        <v>1556</v>
      </c>
      <c r="E13" s="235"/>
      <c r="F13" s="3559">
        <v>23</v>
      </c>
    </row>
    <row r="14" spans="3:6" ht="16.5" customHeight="1">
      <c r="C14" s="3560"/>
      <c r="D14" s="3558"/>
      <c r="E14" s="236"/>
      <c r="F14" s="3559"/>
    </row>
    <row r="15" spans="3:6" ht="16.5" customHeight="1">
      <c r="C15" s="3560"/>
      <c r="D15" s="3558" t="s">
        <v>1557</v>
      </c>
      <c r="E15" s="235"/>
      <c r="F15" s="3559">
        <v>30</v>
      </c>
    </row>
    <row r="16" spans="3:6" ht="16.5" customHeight="1">
      <c r="C16" s="3560"/>
      <c r="D16" s="3558"/>
      <c r="E16" s="236"/>
      <c r="F16" s="3559"/>
    </row>
    <row r="17" spans="3:6" ht="16.5" customHeight="1">
      <c r="C17" s="237"/>
      <c r="D17" s="3558" t="s">
        <v>2966</v>
      </c>
      <c r="E17" s="235"/>
      <c r="F17" s="3559">
        <v>31</v>
      </c>
    </row>
    <row r="18" spans="3:6" ht="16.5" customHeight="1">
      <c r="C18" s="237"/>
      <c r="D18" s="3558"/>
      <c r="E18" s="236"/>
      <c r="F18" s="3559"/>
    </row>
    <row r="19" spans="3:6" ht="16.5" customHeight="1">
      <c r="C19" s="3560">
        <v>3</v>
      </c>
      <c r="D19" s="3558" t="s">
        <v>2967</v>
      </c>
      <c r="E19" s="235"/>
      <c r="F19" s="3559">
        <v>36</v>
      </c>
    </row>
    <row r="20" spans="3:6" ht="16.5" customHeight="1">
      <c r="C20" s="3560"/>
      <c r="D20" s="3558"/>
      <c r="E20" s="236"/>
      <c r="F20" s="3559"/>
    </row>
    <row r="21" spans="3:6" s="128" customFormat="1" ht="16.5" customHeight="1">
      <c r="C21" s="3560">
        <v>4</v>
      </c>
      <c r="D21" s="3558" t="s">
        <v>2968</v>
      </c>
      <c r="E21" s="235"/>
      <c r="F21" s="3561">
        <v>57</v>
      </c>
    </row>
    <row r="22" spans="3:6" s="128" customFormat="1" ht="16.5" customHeight="1">
      <c r="C22" s="3560"/>
      <c r="D22" s="3558"/>
      <c r="E22" s="236"/>
      <c r="F22" s="3561"/>
    </row>
    <row r="23" spans="3:6" ht="16.5" customHeight="1">
      <c r="C23" s="238"/>
      <c r="D23" s="3558" t="s">
        <v>2969</v>
      </c>
      <c r="E23" s="235"/>
      <c r="F23" s="3559">
        <v>58</v>
      </c>
    </row>
    <row r="24" spans="3:6" ht="16.5" customHeight="1">
      <c r="C24" s="238"/>
      <c r="D24" s="3558"/>
      <c r="E24" s="236"/>
      <c r="F24" s="3559"/>
    </row>
    <row r="25" spans="3:6" ht="16.5" customHeight="1">
      <c r="C25" s="238"/>
      <c r="D25" s="3558" t="s">
        <v>2970</v>
      </c>
      <c r="E25" s="235"/>
      <c r="F25" s="3559">
        <v>66</v>
      </c>
    </row>
    <row r="26" spans="3:6" ht="16.5" customHeight="1">
      <c r="C26" s="238"/>
      <c r="D26" s="3558"/>
      <c r="E26" s="236"/>
      <c r="F26" s="3559"/>
    </row>
    <row r="27" spans="3:6" ht="16.5" customHeight="1">
      <c r="C27" s="238"/>
      <c r="D27" s="3558" t="s">
        <v>2971</v>
      </c>
      <c r="E27" s="235"/>
      <c r="F27" s="3559">
        <v>75</v>
      </c>
    </row>
    <row r="28" spans="3:6" ht="16.5" customHeight="1">
      <c r="C28" s="238"/>
      <c r="D28" s="3558"/>
      <c r="E28" s="236"/>
      <c r="F28" s="3559"/>
    </row>
    <row r="29" spans="3:6" ht="16.5" customHeight="1">
      <c r="C29" s="238"/>
      <c r="D29" s="3558" t="s">
        <v>2972</v>
      </c>
      <c r="E29" s="235"/>
      <c r="F29" s="3559">
        <v>78</v>
      </c>
    </row>
    <row r="30" spans="3:6" ht="16.5" customHeight="1">
      <c r="C30" s="238"/>
      <c r="D30" s="3558"/>
      <c r="E30" s="236"/>
      <c r="F30" s="3559"/>
    </row>
    <row r="31" spans="3:6" ht="16.5" customHeight="1">
      <c r="C31" s="238"/>
      <c r="D31" s="3558" t="s">
        <v>2973</v>
      </c>
      <c r="E31" s="235"/>
      <c r="F31" s="3559">
        <v>86</v>
      </c>
    </row>
    <row r="32" spans="3:6" ht="16.5" customHeight="1">
      <c r="C32" s="238"/>
      <c r="D32" s="3558"/>
      <c r="E32" s="236"/>
      <c r="F32" s="3559"/>
    </row>
    <row r="33" spans="3:6" ht="16.5" customHeight="1">
      <c r="C33" s="238"/>
      <c r="D33" s="3558" t="s">
        <v>2974</v>
      </c>
      <c r="E33" s="235"/>
      <c r="F33" s="3559">
        <v>92</v>
      </c>
    </row>
    <row r="34" spans="3:6" ht="16.5" customHeight="1">
      <c r="C34" s="238"/>
      <c r="D34" s="3558"/>
      <c r="E34" s="236"/>
      <c r="F34" s="3559"/>
    </row>
    <row r="35" spans="3:6" ht="16.5" customHeight="1">
      <c r="C35" s="238"/>
      <c r="D35" s="3558" t="s">
        <v>2975</v>
      </c>
      <c r="E35" s="239"/>
      <c r="F35" s="3559">
        <v>95</v>
      </c>
    </row>
    <row r="36" spans="3:6" ht="16.5" customHeight="1">
      <c r="C36" s="238"/>
      <c r="D36" s="3558"/>
      <c r="E36" s="236"/>
      <c r="F36" s="3559"/>
    </row>
    <row r="37" spans="3:6" ht="16.5" customHeight="1">
      <c r="C37" s="238"/>
      <c r="D37" s="3558" t="s">
        <v>2976</v>
      </c>
      <c r="E37" s="235"/>
      <c r="F37" s="3559">
        <v>105</v>
      </c>
    </row>
    <row r="38" spans="3:6" ht="16.5" customHeight="1">
      <c r="C38" s="238"/>
      <c r="D38" s="3558"/>
      <c r="E38" s="236"/>
      <c r="F38" s="3559"/>
    </row>
    <row r="39" spans="3:6" ht="16.5" customHeight="1">
      <c r="C39" s="238"/>
      <c r="D39" s="3558" t="s">
        <v>2977</v>
      </c>
      <c r="E39" s="235"/>
      <c r="F39" s="3559">
        <v>115</v>
      </c>
    </row>
    <row r="40" spans="3:6" ht="16.5" customHeight="1">
      <c r="C40" s="238"/>
      <c r="D40" s="3558"/>
      <c r="E40" s="236"/>
      <c r="F40" s="3559"/>
    </row>
    <row r="41" spans="3:6" ht="16.5" customHeight="1">
      <c r="C41" s="238"/>
      <c r="D41" s="3558" t="s">
        <v>2978</v>
      </c>
      <c r="E41" s="235"/>
      <c r="F41" s="3559">
        <v>121</v>
      </c>
    </row>
    <row r="42" spans="3:6" ht="16.5" customHeight="1">
      <c r="C42" s="238"/>
      <c r="D42" s="3558"/>
      <c r="E42" s="236"/>
      <c r="F42" s="3559"/>
    </row>
    <row r="43" spans="3:6" ht="16.5" customHeight="1">
      <c r="C43" s="238"/>
      <c r="D43" s="3558" t="s">
        <v>2979</v>
      </c>
      <c r="E43" s="235"/>
      <c r="F43" s="3559">
        <v>126</v>
      </c>
    </row>
    <row r="44" spans="3:6" ht="16.5" customHeight="1">
      <c r="C44" s="238"/>
      <c r="D44" s="3558"/>
      <c r="E44" s="236"/>
      <c r="F44" s="3559"/>
    </row>
    <row r="45" spans="3:6" ht="16.5" customHeight="1">
      <c r="C45" s="238"/>
      <c r="D45" s="3558" t="s">
        <v>2980</v>
      </c>
      <c r="E45" s="235"/>
      <c r="F45" s="3559">
        <v>130</v>
      </c>
    </row>
    <row r="46" spans="3:6" ht="16.5" customHeight="1">
      <c r="C46" s="238"/>
      <c r="D46" s="3558"/>
      <c r="E46" s="236"/>
      <c r="F46" s="3559"/>
    </row>
  </sheetData>
  <mergeCells count="54">
    <mergeCell ref="D1:E1"/>
    <mergeCell ref="C3:C4"/>
    <mergeCell ref="D3:D4"/>
    <mergeCell ref="F3:F4"/>
    <mergeCell ref="C5:C6"/>
    <mergeCell ref="D5:D6"/>
    <mergeCell ref="F5:F6"/>
    <mergeCell ref="C7:C8"/>
    <mergeCell ref="D7:D8"/>
    <mergeCell ref="F7:F8"/>
    <mergeCell ref="C9:C10"/>
    <mergeCell ref="D9:D10"/>
    <mergeCell ref="F9:F10"/>
    <mergeCell ref="C11:C12"/>
    <mergeCell ref="D11:D12"/>
    <mergeCell ref="F11:F12"/>
    <mergeCell ref="C13:C14"/>
    <mergeCell ref="D13:D14"/>
    <mergeCell ref="F13:F14"/>
    <mergeCell ref="C15:C16"/>
    <mergeCell ref="D15:D16"/>
    <mergeCell ref="F15:F16"/>
    <mergeCell ref="D17:D18"/>
    <mergeCell ref="F17:F18"/>
    <mergeCell ref="C19:C20"/>
    <mergeCell ref="D19:D20"/>
    <mergeCell ref="F19:F20"/>
    <mergeCell ref="C21:C22"/>
    <mergeCell ref="D21:D22"/>
    <mergeCell ref="F21:F22"/>
    <mergeCell ref="D23:D24"/>
    <mergeCell ref="F23:F24"/>
    <mergeCell ref="D25:D26"/>
    <mergeCell ref="F25:F26"/>
    <mergeCell ref="D27:D28"/>
    <mergeCell ref="F27:F28"/>
    <mergeCell ref="D29:D30"/>
    <mergeCell ref="F29:F30"/>
    <mergeCell ref="D31:D32"/>
    <mergeCell ref="F31:F32"/>
    <mergeCell ref="D33:D34"/>
    <mergeCell ref="F33:F34"/>
    <mergeCell ref="D35:D36"/>
    <mergeCell ref="F35:F36"/>
    <mergeCell ref="D37:D38"/>
    <mergeCell ref="F37:F38"/>
    <mergeCell ref="D39:D40"/>
    <mergeCell ref="F39:F40"/>
    <mergeCell ref="D41:D42"/>
    <mergeCell ref="F41:F42"/>
    <mergeCell ref="D43:D44"/>
    <mergeCell ref="F43:F44"/>
    <mergeCell ref="D45:D46"/>
    <mergeCell ref="F45:F4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8" firstPageNumber="6" fitToHeight="0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  <pageSetUpPr fitToPage="1"/>
  </sheetPr>
  <dimension ref="A11:K12"/>
  <sheetViews>
    <sheetView view="pageBreakPreview" zoomScaleNormal="100" zoomScaleSheetLayoutView="100" workbookViewId="0">
      <selection activeCell="W31" sqref="W31"/>
    </sheetView>
  </sheetViews>
  <sheetFormatPr defaultRowHeight="16.5"/>
  <sheetData>
    <row r="11" spans="1:11" ht="61.5" customHeight="1">
      <c r="A11" s="3563"/>
      <c r="B11" s="3563"/>
      <c r="C11" s="3563"/>
      <c r="D11" s="3563"/>
      <c r="E11" s="3563"/>
      <c r="F11" s="3563"/>
      <c r="G11" s="3563"/>
      <c r="H11" s="3563"/>
      <c r="I11" s="3563"/>
      <c r="J11" s="3563"/>
      <c r="K11" s="3563"/>
    </row>
    <row r="12" spans="1:11" ht="16.5" customHeight="1"/>
  </sheetData>
  <mergeCells count="1">
    <mergeCell ref="A11:K11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scaleWithDoc="0"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  <pageSetUpPr fitToPage="1"/>
  </sheetPr>
  <dimension ref="A1:P110"/>
  <sheetViews>
    <sheetView view="pageBreakPreview" zoomScaleNormal="100" zoomScaleSheetLayoutView="100" workbookViewId="0">
      <selection activeCell="G77" sqref="G77"/>
    </sheetView>
  </sheetViews>
  <sheetFormatPr defaultColWidth="9" defaultRowHeight="16.5"/>
  <cols>
    <col min="1" max="1" width="15.125" style="131" customWidth="1"/>
    <col min="2" max="2" width="20.125" style="131" customWidth="1"/>
    <col min="3" max="3" width="33.25" style="131" customWidth="1"/>
    <col min="4" max="4" width="28" style="131" customWidth="1"/>
    <col min="5" max="5" width="43.75" style="131" customWidth="1"/>
    <col min="6" max="6" width="1.5" style="131" hidden="1" customWidth="1"/>
    <col min="7" max="8" width="9" style="131"/>
    <col min="9" max="9" width="25.5" style="131" bestFit="1" customWidth="1"/>
    <col min="10" max="10" width="9" style="131"/>
    <col min="11" max="11" width="11.875" style="131" bestFit="1" customWidth="1"/>
    <col min="12" max="12" width="10.875" style="131" bestFit="1" customWidth="1"/>
    <col min="13" max="13" width="9" style="131"/>
    <col min="14" max="14" width="11.875" style="131" bestFit="1" customWidth="1"/>
    <col min="15" max="15" width="9" style="131"/>
    <col min="16" max="16" width="11.875" style="131" bestFit="1" customWidth="1"/>
    <col min="17" max="16384" width="9" style="131"/>
  </cols>
  <sheetData>
    <row r="1" spans="1:6" ht="31.5" customHeight="1">
      <c r="A1" s="172"/>
      <c r="B1" s="242" t="s">
        <v>634</v>
      </c>
      <c r="C1" s="241"/>
      <c r="D1" s="241"/>
      <c r="E1" s="241"/>
      <c r="F1" s="172"/>
    </row>
    <row r="2" spans="1:6" ht="20.25">
      <c r="A2" s="172"/>
      <c r="B2" s="241"/>
      <c r="C2" s="241"/>
      <c r="D2" s="241"/>
      <c r="E2" s="241"/>
      <c r="F2" s="172"/>
    </row>
    <row r="3" spans="1:6" ht="21.6" customHeight="1">
      <c r="A3" s="172"/>
      <c r="B3" s="243" t="s">
        <v>1568</v>
      </c>
      <c r="C3" s="243"/>
      <c r="D3" s="243"/>
      <c r="E3" s="243"/>
      <c r="F3" s="172"/>
    </row>
    <row r="4" spans="1:6" ht="21.6" customHeight="1">
      <c r="A4" s="172"/>
      <c r="B4" s="243"/>
      <c r="C4" s="243"/>
      <c r="D4" s="243"/>
      <c r="E4" s="243"/>
      <c r="F4" s="172"/>
    </row>
    <row r="5" spans="1:6" s="132" customFormat="1" ht="21.6" customHeight="1">
      <c r="A5" s="173"/>
      <c r="B5" s="243" t="s">
        <v>1569</v>
      </c>
      <c r="C5" s="244"/>
      <c r="D5" s="244"/>
      <c r="E5" s="244"/>
      <c r="F5" s="173"/>
    </row>
    <row r="6" spans="1:6" s="132" customFormat="1" ht="21.6" customHeight="1">
      <c r="A6" s="173"/>
      <c r="B6" s="3565" t="s">
        <v>2133</v>
      </c>
      <c r="C6" s="3565"/>
      <c r="D6" s="3565"/>
      <c r="E6" s="3565"/>
      <c r="F6" s="173"/>
    </row>
    <row r="7" spans="1:6" s="132" customFormat="1" ht="21.6" customHeight="1">
      <c r="A7" s="173"/>
      <c r="B7" s="3565"/>
      <c r="C7" s="3565"/>
      <c r="D7" s="3565"/>
      <c r="E7" s="3565"/>
      <c r="F7" s="173"/>
    </row>
    <row r="8" spans="1:6" s="132" customFormat="1" ht="21.6" customHeight="1">
      <c r="A8" s="173"/>
      <c r="B8" s="3565"/>
      <c r="C8" s="3565"/>
      <c r="D8" s="3565"/>
      <c r="E8" s="3565"/>
      <c r="F8" s="173"/>
    </row>
    <row r="9" spans="1:6" s="132" customFormat="1" ht="21.6" customHeight="1">
      <c r="A9" s="173"/>
      <c r="B9" s="3565"/>
      <c r="C9" s="3565"/>
      <c r="D9" s="3565"/>
      <c r="E9" s="3565"/>
      <c r="F9" s="173"/>
    </row>
    <row r="10" spans="1:6" ht="21.6" customHeight="1">
      <c r="A10" s="172"/>
      <c r="B10" s="3565"/>
      <c r="C10" s="3565"/>
      <c r="D10" s="3565"/>
      <c r="E10" s="3565"/>
      <c r="F10" s="172"/>
    </row>
    <row r="11" spans="1:6" s="132" customFormat="1" ht="21.6" customHeight="1">
      <c r="A11" s="173"/>
      <c r="B11" s="3565" t="s">
        <v>2134</v>
      </c>
      <c r="C11" s="3565"/>
      <c r="D11" s="3565"/>
      <c r="E11" s="3565"/>
      <c r="F11" s="173"/>
    </row>
    <row r="12" spans="1:6" s="132" customFormat="1" ht="21.6" customHeight="1">
      <c r="A12" s="173"/>
      <c r="B12" s="3565"/>
      <c r="C12" s="3565"/>
      <c r="D12" s="3565"/>
      <c r="E12" s="3565"/>
      <c r="F12" s="173"/>
    </row>
    <row r="13" spans="1:6" s="132" customFormat="1" ht="21.6" customHeight="1">
      <c r="A13" s="173"/>
      <c r="B13" s="3565"/>
      <c r="C13" s="3565"/>
      <c r="D13" s="3565"/>
      <c r="E13" s="3565"/>
      <c r="F13" s="173"/>
    </row>
    <row r="14" spans="1:6" s="132" customFormat="1" ht="21.6" customHeight="1">
      <c r="A14" s="173"/>
      <c r="B14" s="3565" t="s">
        <v>2135</v>
      </c>
      <c r="C14" s="3565"/>
      <c r="D14" s="3565"/>
      <c r="E14" s="3565"/>
      <c r="F14" s="173"/>
    </row>
    <row r="15" spans="1:6" s="132" customFormat="1" ht="21.6" customHeight="1">
      <c r="A15" s="173"/>
      <c r="B15" s="3565"/>
      <c r="C15" s="3565"/>
      <c r="D15" s="3565"/>
      <c r="E15" s="3565"/>
      <c r="F15" s="173"/>
    </row>
    <row r="16" spans="1:6" s="132" customFormat="1" ht="21.6" customHeight="1">
      <c r="A16" s="173"/>
      <c r="B16" s="3565"/>
      <c r="C16" s="3565"/>
      <c r="D16" s="3565"/>
      <c r="E16" s="3565"/>
      <c r="F16" s="173"/>
    </row>
    <row r="17" spans="1:6" s="132" customFormat="1" ht="21.6" customHeight="1">
      <c r="A17" s="173"/>
      <c r="B17" s="3565" t="s">
        <v>2136</v>
      </c>
      <c r="C17" s="3565"/>
      <c r="D17" s="3565"/>
      <c r="E17" s="3565"/>
      <c r="F17" s="173"/>
    </row>
    <row r="18" spans="1:6" s="132" customFormat="1" ht="21.6" customHeight="1">
      <c r="A18" s="173"/>
      <c r="B18" s="3565"/>
      <c r="C18" s="3565"/>
      <c r="D18" s="3565"/>
      <c r="E18" s="3565"/>
      <c r="F18" s="173"/>
    </row>
    <row r="19" spans="1:6" s="132" customFormat="1" ht="21.6" customHeight="1">
      <c r="A19" s="173"/>
      <c r="B19" s="3565"/>
      <c r="C19" s="3565"/>
      <c r="D19" s="3565"/>
      <c r="E19" s="3565"/>
      <c r="F19" s="173"/>
    </row>
    <row r="20" spans="1:6" s="132" customFormat="1" ht="21.6" customHeight="1">
      <c r="A20" s="173"/>
      <c r="B20" s="3565" t="s">
        <v>2137</v>
      </c>
      <c r="C20" s="3565"/>
      <c r="D20" s="3565"/>
      <c r="E20" s="3565"/>
      <c r="F20" s="173"/>
    </row>
    <row r="21" spans="1:6" s="132" customFormat="1" ht="21.6" customHeight="1">
      <c r="A21" s="173"/>
      <c r="B21" s="3565"/>
      <c r="C21" s="3565"/>
      <c r="D21" s="3565"/>
      <c r="E21" s="3565"/>
      <c r="F21" s="173"/>
    </row>
    <row r="22" spans="1:6" s="132" customFormat="1" ht="21.6" customHeight="1">
      <c r="A22" s="173"/>
      <c r="B22" s="3565"/>
      <c r="C22" s="3565"/>
      <c r="D22" s="3565"/>
      <c r="E22" s="3565"/>
      <c r="F22" s="173"/>
    </row>
    <row r="23" spans="1:6" s="132" customFormat="1" ht="21.6" customHeight="1">
      <c r="A23" s="173"/>
      <c r="B23" s="3566" t="s">
        <v>2138</v>
      </c>
      <c r="C23" s="3566"/>
      <c r="D23" s="3566"/>
      <c r="E23" s="3566"/>
      <c r="F23" s="173"/>
    </row>
    <row r="24" spans="1:6" s="132" customFormat="1" ht="21.6" customHeight="1">
      <c r="A24" s="173"/>
      <c r="B24" s="3566"/>
      <c r="C24" s="3566"/>
      <c r="D24" s="3566"/>
      <c r="E24" s="3566"/>
      <c r="F24" s="173"/>
    </row>
    <row r="25" spans="1:6" s="132" customFormat="1" ht="21.6" customHeight="1">
      <c r="A25" s="173"/>
      <c r="B25" s="3566"/>
      <c r="C25" s="3566"/>
      <c r="D25" s="3566"/>
      <c r="E25" s="3566"/>
      <c r="F25" s="173"/>
    </row>
    <row r="26" spans="1:6" s="132" customFormat="1" ht="21.6" customHeight="1">
      <c r="A26" s="173"/>
      <c r="B26" s="3566" t="s">
        <v>2139</v>
      </c>
      <c r="C26" s="3566"/>
      <c r="D26" s="3566"/>
      <c r="E26" s="3566"/>
      <c r="F26" s="173"/>
    </row>
    <row r="27" spans="1:6" s="132" customFormat="1" ht="21.6" customHeight="1">
      <c r="A27" s="173"/>
      <c r="B27" s="3566"/>
      <c r="C27" s="3566"/>
      <c r="D27" s="3566"/>
      <c r="E27" s="3566"/>
      <c r="F27" s="173"/>
    </row>
    <row r="28" spans="1:6" s="132" customFormat="1" ht="21.6" customHeight="1">
      <c r="A28" s="173"/>
      <c r="B28" s="3566"/>
      <c r="C28" s="3566"/>
      <c r="D28" s="3566"/>
      <c r="E28" s="3566"/>
      <c r="F28" s="173"/>
    </row>
    <row r="29" spans="1:6" s="132" customFormat="1" ht="21.6" customHeight="1">
      <c r="A29" s="173"/>
      <c r="B29" s="3566" t="s">
        <v>2140</v>
      </c>
      <c r="C29" s="3566"/>
      <c r="D29" s="3566"/>
      <c r="E29" s="3566"/>
      <c r="F29" s="173"/>
    </row>
    <row r="30" spans="1:6" s="132" customFormat="1" ht="21.6" customHeight="1">
      <c r="A30" s="173"/>
      <c r="B30" s="3566"/>
      <c r="C30" s="3566"/>
      <c r="D30" s="3566"/>
      <c r="E30" s="3566"/>
      <c r="F30" s="173"/>
    </row>
    <row r="31" spans="1:6" s="132" customFormat="1" ht="21.6" customHeight="1">
      <c r="A31" s="173"/>
      <c r="B31" s="3566"/>
      <c r="C31" s="3566"/>
      <c r="D31" s="3566"/>
      <c r="E31" s="3566"/>
      <c r="F31" s="173"/>
    </row>
    <row r="32" spans="1:6" s="132" customFormat="1" ht="21.6" customHeight="1">
      <c r="A32" s="173"/>
      <c r="B32" s="3566" t="s">
        <v>2141</v>
      </c>
      <c r="C32" s="3566"/>
      <c r="D32" s="3566"/>
      <c r="E32" s="3566"/>
      <c r="F32" s="173"/>
    </row>
    <row r="33" spans="1:6" s="132" customFormat="1" ht="21.6" customHeight="1">
      <c r="A33" s="173"/>
      <c r="B33" s="3566"/>
      <c r="C33" s="3566"/>
      <c r="D33" s="3566"/>
      <c r="E33" s="3566"/>
      <c r="F33" s="173"/>
    </row>
    <row r="34" spans="1:6" s="132" customFormat="1" ht="21.6" customHeight="1">
      <c r="A34" s="173"/>
      <c r="B34" s="3566"/>
      <c r="C34" s="3566"/>
      <c r="D34" s="3566"/>
      <c r="E34" s="3566"/>
      <c r="F34" s="173"/>
    </row>
    <row r="35" spans="1:6" ht="20.25">
      <c r="A35" s="172"/>
      <c r="B35" s="243"/>
      <c r="C35" s="243"/>
      <c r="D35" s="243"/>
      <c r="E35" s="243"/>
      <c r="F35" s="172"/>
    </row>
    <row r="36" spans="1:6" ht="20.25">
      <c r="A36" s="172"/>
      <c r="B36" s="243" t="s">
        <v>635</v>
      </c>
      <c r="C36" s="243"/>
      <c r="D36" s="243"/>
      <c r="E36" s="243"/>
      <c r="F36" s="172"/>
    </row>
    <row r="37" spans="1:6" ht="20.25">
      <c r="A37" s="172"/>
      <c r="B37" s="243"/>
      <c r="C37" s="243"/>
      <c r="D37" s="243"/>
      <c r="E37" s="243"/>
      <c r="F37" s="172"/>
    </row>
    <row r="38" spans="1:6" ht="18.75">
      <c r="A38" s="172"/>
      <c r="B38" s="3564" t="s">
        <v>636</v>
      </c>
      <c r="C38" s="3564"/>
      <c r="D38" s="3564"/>
      <c r="E38" s="3564"/>
      <c r="F38" s="172"/>
    </row>
    <row r="39" spans="1:6" ht="20.25">
      <c r="A39" s="172"/>
      <c r="B39" s="243" t="s">
        <v>637</v>
      </c>
      <c r="C39" s="243"/>
      <c r="D39" s="245">
        <f>+SUM(D40:D42)</f>
        <v>8711827000</v>
      </c>
      <c r="E39" s="243" t="s">
        <v>638</v>
      </c>
      <c r="F39" s="172"/>
    </row>
    <row r="40" spans="1:6" ht="20.25">
      <c r="A40" s="172"/>
      <c r="B40" s="243" t="s">
        <v>639</v>
      </c>
      <c r="C40" s="243"/>
      <c r="D40" s="245">
        <f>세입예산총괄표3!B57</f>
        <v>2344993000</v>
      </c>
      <c r="E40" s="243" t="s">
        <v>640</v>
      </c>
      <c r="F40" s="172"/>
    </row>
    <row r="41" spans="1:6" ht="20.25">
      <c r="A41" s="172"/>
      <c r="B41" s="243" t="s">
        <v>641</v>
      </c>
      <c r="C41" s="243"/>
      <c r="D41" s="245">
        <f>세입예산총괄표3!B8</f>
        <v>6366834000</v>
      </c>
      <c r="E41" s="243" t="s">
        <v>640</v>
      </c>
      <c r="F41" s="172"/>
    </row>
    <row r="42" spans="1:6" ht="20.25">
      <c r="A42" s="172"/>
      <c r="B42" s="243" t="s">
        <v>642</v>
      </c>
      <c r="C42" s="243"/>
      <c r="D42" s="245">
        <v>0</v>
      </c>
      <c r="E42" s="243" t="s">
        <v>638</v>
      </c>
      <c r="F42" s="172"/>
    </row>
    <row r="43" spans="1:6" ht="18.75">
      <c r="A43" s="172"/>
      <c r="B43" s="3564" t="s">
        <v>643</v>
      </c>
      <c r="C43" s="3564"/>
      <c r="D43" s="3564"/>
      <c r="E43" s="3564"/>
      <c r="F43" s="172"/>
    </row>
    <row r="44" spans="1:6" ht="20.25">
      <c r="A44" s="172"/>
      <c r="B44" s="243" t="s">
        <v>644</v>
      </c>
      <c r="C44" s="243"/>
      <c r="D44" s="246">
        <f>+SUM(D45:D49)</f>
        <v>8711827000</v>
      </c>
      <c r="E44" s="243" t="s">
        <v>640</v>
      </c>
      <c r="F44" s="172"/>
    </row>
    <row r="45" spans="1:6" ht="20.25">
      <c r="A45" s="172"/>
      <c r="B45" s="243" t="s">
        <v>645</v>
      </c>
      <c r="C45" s="243"/>
      <c r="D45" s="245">
        <f>세입세출요약총괄표5!I7+세입세출요약총괄표5!I17-세입세출요약총괄표5!I16</f>
        <v>8711827000</v>
      </c>
      <c r="E45" s="243" t="s">
        <v>646</v>
      </c>
      <c r="F45" s="172"/>
    </row>
    <row r="46" spans="1:6" ht="20.25">
      <c r="A46" s="172"/>
      <c r="B46" s="243" t="s">
        <v>647</v>
      </c>
      <c r="C46" s="243"/>
      <c r="D46" s="245">
        <v>0</v>
      </c>
      <c r="E46" s="243" t="s">
        <v>640</v>
      </c>
      <c r="F46" s="172"/>
    </row>
    <row r="47" spans="1:6" ht="20.25">
      <c r="A47" s="172"/>
      <c r="B47" s="243" t="s">
        <v>648</v>
      </c>
      <c r="C47" s="243"/>
      <c r="D47" s="245">
        <v>0</v>
      </c>
      <c r="E47" s="243" t="s">
        <v>649</v>
      </c>
      <c r="F47" s="172"/>
    </row>
    <row r="48" spans="1:6" ht="20.25">
      <c r="A48" s="172"/>
      <c r="B48" s="243" t="s">
        <v>650</v>
      </c>
      <c r="C48" s="243"/>
      <c r="D48" s="245">
        <v>0</v>
      </c>
      <c r="E48" s="243" t="s">
        <v>640</v>
      </c>
      <c r="F48" s="172"/>
    </row>
    <row r="49" spans="1:6" ht="20.25">
      <c r="A49" s="172"/>
      <c r="B49" s="243" t="s">
        <v>651</v>
      </c>
      <c r="C49" s="243"/>
      <c r="D49" s="245">
        <f>세출예산총괄표4!B71</f>
        <v>0</v>
      </c>
      <c r="E49" s="243" t="s">
        <v>638</v>
      </c>
      <c r="F49" s="172"/>
    </row>
    <row r="50" spans="1:6" ht="20.25">
      <c r="A50" s="172"/>
      <c r="B50" s="243" t="s">
        <v>652</v>
      </c>
      <c r="C50" s="243"/>
      <c r="D50" s="243"/>
      <c r="E50" s="243"/>
      <c r="F50" s="172"/>
    </row>
    <row r="51" spans="1:6" ht="20.25">
      <c r="A51" s="172"/>
      <c r="B51" s="243"/>
      <c r="C51" s="243"/>
      <c r="D51" s="243"/>
      <c r="E51" s="243"/>
      <c r="F51" s="172"/>
    </row>
    <row r="52" spans="1:6" ht="18.75">
      <c r="A52" s="172"/>
      <c r="B52" s="3564" t="s">
        <v>653</v>
      </c>
      <c r="C52" s="3564"/>
      <c r="D52" s="3564"/>
      <c r="E52" s="3564"/>
      <c r="F52" s="172"/>
    </row>
    <row r="53" spans="1:6" ht="20.25">
      <c r="A53" s="172"/>
      <c r="B53" s="243" t="s">
        <v>654</v>
      </c>
      <c r="C53" s="243"/>
      <c r="D53" s="245">
        <f>+SUM(D54:D59)</f>
        <v>585277000</v>
      </c>
      <c r="E53" s="243" t="s">
        <v>638</v>
      </c>
      <c r="F53" s="172"/>
    </row>
    <row r="54" spans="1:6" ht="20.25">
      <c r="A54" s="172"/>
      <c r="B54" s="243" t="s">
        <v>655</v>
      </c>
      <c r="C54" s="243"/>
      <c r="D54" s="245">
        <v>0</v>
      </c>
      <c r="E54" s="243" t="s">
        <v>638</v>
      </c>
      <c r="F54" s="172"/>
    </row>
    <row r="55" spans="1:6" ht="20.25">
      <c r="A55" s="172"/>
      <c r="B55" s="243" t="s">
        <v>656</v>
      </c>
      <c r="C55" s="243"/>
      <c r="D55" s="245">
        <v>0</v>
      </c>
      <c r="E55" s="243" t="s">
        <v>638</v>
      </c>
      <c r="F55" s="172"/>
    </row>
    <row r="56" spans="1:6" ht="20.25">
      <c r="A56" s="172"/>
      <c r="B56" s="243" t="s">
        <v>657</v>
      </c>
      <c r="C56" s="243"/>
      <c r="D56" s="245">
        <v>0</v>
      </c>
      <c r="E56" s="243" t="s">
        <v>638</v>
      </c>
      <c r="F56" s="172"/>
    </row>
    <row r="57" spans="1:6" ht="20.25">
      <c r="A57" s="172"/>
      <c r="B57" s="243" t="s">
        <v>658</v>
      </c>
      <c r="C57" s="243"/>
      <c r="D57" s="245">
        <v>0</v>
      </c>
      <c r="E57" s="243" t="s">
        <v>638</v>
      </c>
      <c r="F57" s="172"/>
    </row>
    <row r="58" spans="1:6" ht="20.25">
      <c r="A58" s="172"/>
      <c r="B58" s="243" t="s">
        <v>659</v>
      </c>
      <c r="C58" s="243"/>
      <c r="D58" s="245">
        <v>50067000</v>
      </c>
      <c r="E58" s="243" t="s">
        <v>638</v>
      </c>
      <c r="F58" s="172"/>
    </row>
    <row r="59" spans="1:6" ht="20.25">
      <c r="A59" s="172"/>
      <c r="B59" s="243" t="s">
        <v>660</v>
      </c>
      <c r="C59" s="243"/>
      <c r="D59" s="245">
        <f>세입세출요약총괄표5!B15+세입세출요약총괄표5!B22</f>
        <v>535210000</v>
      </c>
      <c r="E59" s="243" t="s">
        <v>640</v>
      </c>
      <c r="F59" s="172"/>
    </row>
    <row r="60" spans="1:6" ht="20.25">
      <c r="A60" s="172"/>
      <c r="B60" s="243"/>
      <c r="C60" s="243"/>
      <c r="D60" s="243"/>
      <c r="E60" s="243"/>
      <c r="F60" s="172"/>
    </row>
    <row r="61" spans="1:6" ht="18.75">
      <c r="A61" s="172"/>
      <c r="B61" s="3564" t="s">
        <v>661</v>
      </c>
      <c r="C61" s="3564"/>
      <c r="D61" s="3564"/>
      <c r="E61" s="3564"/>
      <c r="F61" s="172"/>
    </row>
    <row r="62" spans="1:6" ht="20.25">
      <c r="A62" s="172"/>
      <c r="B62" s="243" t="s">
        <v>662</v>
      </c>
      <c r="C62" s="243"/>
      <c r="D62" s="245">
        <f>+SUM(D63:D69)</f>
        <v>92327000</v>
      </c>
      <c r="E62" s="243" t="s">
        <v>638</v>
      </c>
      <c r="F62" s="172"/>
    </row>
    <row r="63" spans="1:6" ht="20.25">
      <c r="A63" s="172"/>
      <c r="B63" s="243" t="s">
        <v>655</v>
      </c>
      <c r="C63" s="243"/>
      <c r="D63" s="245">
        <v>0</v>
      </c>
      <c r="E63" s="243" t="s">
        <v>638</v>
      </c>
      <c r="F63" s="172"/>
    </row>
    <row r="64" spans="1:6" ht="20.25">
      <c r="A64" s="172"/>
      <c r="B64" s="243" t="s">
        <v>663</v>
      </c>
      <c r="C64" s="243"/>
      <c r="D64" s="245">
        <f>세입세출요약총괄표5!I14+세입세출요약총괄표5!I21</f>
        <v>42260000</v>
      </c>
      <c r="E64" s="243" t="s">
        <v>638</v>
      </c>
      <c r="F64" s="172"/>
    </row>
    <row r="65" spans="1:6" ht="20.25">
      <c r="A65" s="172"/>
      <c r="B65" s="243" t="s">
        <v>664</v>
      </c>
      <c r="C65" s="243"/>
      <c r="D65" s="245">
        <v>0</v>
      </c>
      <c r="E65" s="243" t="s">
        <v>640</v>
      </c>
      <c r="F65" s="172"/>
    </row>
    <row r="66" spans="1:6" ht="20.25">
      <c r="A66" s="172"/>
      <c r="B66" s="243" t="s">
        <v>665</v>
      </c>
      <c r="C66" s="243"/>
      <c r="D66" s="245">
        <v>0</v>
      </c>
      <c r="E66" s="243" t="s">
        <v>646</v>
      </c>
      <c r="F66" s="172"/>
    </row>
    <row r="67" spans="1:6" ht="20.25">
      <c r="A67" s="172"/>
      <c r="B67" s="243" t="s">
        <v>666</v>
      </c>
      <c r="C67" s="243"/>
      <c r="D67" s="245">
        <v>0</v>
      </c>
      <c r="E67" s="243" t="s">
        <v>640</v>
      </c>
      <c r="F67" s="172"/>
    </row>
    <row r="68" spans="1:6" ht="20.25">
      <c r="A68" s="172"/>
      <c r="B68" s="243" t="s">
        <v>667</v>
      </c>
      <c r="C68" s="243"/>
      <c r="D68" s="245">
        <v>50067000</v>
      </c>
      <c r="E68" s="243" t="s">
        <v>638</v>
      </c>
      <c r="F68" s="172"/>
    </row>
    <row r="69" spans="1:6" ht="20.25">
      <c r="A69" s="172"/>
      <c r="B69" s="243" t="s">
        <v>668</v>
      </c>
      <c r="C69" s="243"/>
      <c r="D69" s="245">
        <f>세입세출요약총괄표5!I16</f>
        <v>0</v>
      </c>
      <c r="E69" s="243" t="s">
        <v>638</v>
      </c>
      <c r="F69" s="172"/>
    </row>
    <row r="70" spans="1:6" ht="20.25">
      <c r="A70" s="172"/>
      <c r="B70" s="243"/>
      <c r="C70" s="243"/>
      <c r="D70" s="245"/>
      <c r="E70" s="243"/>
      <c r="F70" s="172"/>
    </row>
    <row r="71" spans="1:6" ht="20.25">
      <c r="A71" s="172"/>
      <c r="B71" s="243"/>
      <c r="C71" s="243"/>
      <c r="D71" s="243"/>
      <c r="E71" s="243"/>
      <c r="F71" s="172"/>
    </row>
    <row r="72" spans="1:6" ht="20.25">
      <c r="A72" s="172"/>
      <c r="B72" s="243"/>
      <c r="C72" s="243"/>
      <c r="D72" s="243"/>
      <c r="E72" s="243"/>
      <c r="F72" s="172"/>
    </row>
    <row r="73" spans="1:6" ht="20.25">
      <c r="A73" s="172"/>
      <c r="B73" s="243" t="s">
        <v>669</v>
      </c>
      <c r="C73" s="243"/>
      <c r="D73" s="243"/>
      <c r="E73" s="243"/>
      <c r="F73" s="172"/>
    </row>
    <row r="74" spans="1:6" ht="20.25">
      <c r="A74" s="172"/>
      <c r="B74" s="243"/>
      <c r="C74" s="243"/>
      <c r="D74" s="243"/>
      <c r="E74" s="243"/>
      <c r="F74" s="172"/>
    </row>
    <row r="75" spans="1:6" ht="20.25">
      <c r="A75" s="172"/>
      <c r="B75" s="243"/>
      <c r="C75" s="243"/>
      <c r="D75" s="243"/>
      <c r="E75" s="243"/>
      <c r="F75" s="172"/>
    </row>
    <row r="76" spans="1:6" ht="20.25">
      <c r="A76" s="172"/>
      <c r="B76" s="243"/>
      <c r="C76" s="243"/>
      <c r="D76" s="243"/>
      <c r="E76" s="243"/>
      <c r="F76" s="172"/>
    </row>
    <row r="77" spans="1:6" ht="20.25">
      <c r="A77" s="172"/>
      <c r="B77" s="243"/>
      <c r="C77" s="243"/>
      <c r="D77" s="243"/>
      <c r="E77" s="243"/>
      <c r="F77" s="172"/>
    </row>
    <row r="78" spans="1:6" ht="20.25">
      <c r="A78" s="172"/>
      <c r="B78" s="243"/>
      <c r="C78" s="243"/>
      <c r="D78" s="243"/>
      <c r="E78" s="243"/>
      <c r="F78" s="172"/>
    </row>
    <row r="79" spans="1:6" ht="20.25">
      <c r="A79" s="172"/>
      <c r="B79" s="243"/>
      <c r="C79" s="243"/>
      <c r="D79" s="243"/>
      <c r="E79" s="243"/>
      <c r="F79" s="172"/>
    </row>
    <row r="80" spans="1:6" ht="20.25">
      <c r="A80" s="172"/>
      <c r="B80" s="243" t="s">
        <v>2142</v>
      </c>
      <c r="C80" s="243"/>
      <c r="D80" s="243"/>
      <c r="E80" s="243"/>
      <c r="F80" s="172"/>
    </row>
    <row r="81" spans="1:14" ht="20.25">
      <c r="A81" s="172"/>
      <c r="B81" s="243"/>
      <c r="C81" s="243"/>
      <c r="D81" s="243"/>
      <c r="E81" s="243"/>
      <c r="F81" s="172"/>
    </row>
    <row r="82" spans="1:14" ht="20.25">
      <c r="A82" s="172"/>
      <c r="B82" s="243"/>
      <c r="C82" s="243"/>
      <c r="D82" s="243"/>
      <c r="E82" s="243"/>
      <c r="F82" s="172"/>
    </row>
    <row r="83" spans="1:14" ht="20.25">
      <c r="A83" s="172"/>
      <c r="B83" s="243"/>
      <c r="C83" s="243"/>
      <c r="D83" s="243"/>
      <c r="E83" s="243"/>
      <c r="F83" s="172"/>
    </row>
    <row r="84" spans="1:14" ht="20.25">
      <c r="A84" s="172"/>
      <c r="B84" s="243"/>
      <c r="C84" s="243"/>
      <c r="D84" s="243"/>
      <c r="E84" s="243"/>
      <c r="F84" s="172"/>
    </row>
    <row r="85" spans="1:14" ht="20.25">
      <c r="A85" s="172"/>
      <c r="B85" s="243"/>
      <c r="C85" s="243"/>
      <c r="D85" s="243"/>
      <c r="E85" s="243"/>
      <c r="F85" s="172"/>
    </row>
    <row r="86" spans="1:14" ht="20.25">
      <c r="A86" s="172"/>
      <c r="B86" s="243"/>
      <c r="C86" s="243"/>
      <c r="D86" s="243"/>
      <c r="E86" s="243"/>
      <c r="F86" s="172"/>
    </row>
    <row r="87" spans="1:14" ht="20.25">
      <c r="A87" s="172"/>
      <c r="B87" s="243" t="s">
        <v>670</v>
      </c>
      <c r="C87" s="243"/>
      <c r="D87" s="243"/>
      <c r="E87" s="243"/>
      <c r="F87" s="172"/>
    </row>
    <row r="88" spans="1:14" ht="20.25">
      <c r="A88" s="172"/>
      <c r="B88" s="243"/>
      <c r="C88" s="243"/>
      <c r="D88" s="243"/>
      <c r="E88" s="243"/>
      <c r="F88" s="172"/>
    </row>
    <row r="89" spans="1:14" ht="20.25">
      <c r="A89" s="172"/>
      <c r="B89" s="243" t="s">
        <v>671</v>
      </c>
      <c r="C89" s="243"/>
      <c r="D89" s="243"/>
      <c r="E89" s="243"/>
      <c r="F89" s="172"/>
    </row>
    <row r="90" spans="1:14" ht="20.25">
      <c r="A90" s="172"/>
      <c r="B90" s="243"/>
      <c r="C90" s="243"/>
      <c r="D90" s="243"/>
      <c r="E90" s="243"/>
      <c r="F90" s="172"/>
    </row>
    <row r="91" spans="1:14" ht="20.25">
      <c r="A91" s="172"/>
      <c r="B91" s="243" t="s">
        <v>724</v>
      </c>
      <c r="C91" s="243"/>
      <c r="D91" s="243"/>
      <c r="E91" s="243"/>
      <c r="F91" s="172"/>
    </row>
    <row r="92" spans="1:14" ht="20.25">
      <c r="A92" s="172"/>
      <c r="B92" s="243" t="s">
        <v>725</v>
      </c>
      <c r="C92" s="243"/>
      <c r="D92" s="243"/>
      <c r="E92" s="243"/>
      <c r="F92" s="172"/>
    </row>
    <row r="93" spans="1:14" ht="20.25">
      <c r="A93" s="172"/>
      <c r="B93" s="243" t="s">
        <v>672</v>
      </c>
      <c r="C93" s="243"/>
      <c r="D93" s="245">
        <f>세입세출요약총괄표5!I8+세입세출요약총괄표5!I18</f>
        <v>3826014000</v>
      </c>
      <c r="E93" s="243" t="s">
        <v>640</v>
      </c>
      <c r="F93" s="172"/>
    </row>
    <row r="94" spans="1:14" ht="20.25">
      <c r="A94" s="172"/>
      <c r="B94" s="243" t="s">
        <v>673</v>
      </c>
      <c r="C94" s="243"/>
      <c r="D94" s="245">
        <v>32520000</v>
      </c>
      <c r="E94" s="243" t="s">
        <v>640</v>
      </c>
      <c r="F94" s="172"/>
      <c r="I94" t="s">
        <v>574</v>
      </c>
      <c r="J94">
        <v>6200000</v>
      </c>
      <c r="K94">
        <v>2680000</v>
      </c>
      <c r="L94">
        <f t="shared" ref="L94:L104" si="0">SUM(J94:K94)</f>
        <v>8880000</v>
      </c>
      <c r="M94"/>
      <c r="N94"/>
    </row>
    <row r="95" spans="1:14" ht="20.25">
      <c r="A95" s="172"/>
      <c r="B95" s="243"/>
      <c r="C95" s="243"/>
      <c r="D95" s="245"/>
      <c r="E95" s="243"/>
      <c r="F95" s="172"/>
      <c r="I95"/>
      <c r="J95"/>
      <c r="K95"/>
      <c r="L95"/>
      <c r="M95"/>
      <c r="N95"/>
    </row>
    <row r="96" spans="1:14" ht="20.25">
      <c r="A96" s="172"/>
      <c r="B96" s="243"/>
      <c r="C96" s="243"/>
      <c r="D96" s="245"/>
      <c r="E96" s="243"/>
      <c r="F96" s="172"/>
      <c r="I96"/>
      <c r="J96"/>
      <c r="K96"/>
      <c r="L96"/>
      <c r="M96"/>
      <c r="N96"/>
    </row>
    <row r="97" spans="1:16" ht="20.25">
      <c r="A97" s="172"/>
      <c r="B97" s="243"/>
      <c r="C97" s="243"/>
      <c r="D97" s="243"/>
      <c r="E97" s="243"/>
      <c r="F97" s="172"/>
      <c r="I97" t="s">
        <v>576</v>
      </c>
      <c r="J97">
        <v>1200000</v>
      </c>
      <c r="K97">
        <v>2860000</v>
      </c>
      <c r="L97">
        <f t="shared" si="0"/>
        <v>4060000</v>
      </c>
      <c r="M97"/>
      <c r="N97"/>
    </row>
    <row r="98" spans="1:16" ht="20.25">
      <c r="A98" s="172"/>
      <c r="B98" s="243" t="s">
        <v>674</v>
      </c>
      <c r="C98" s="243"/>
      <c r="D98" s="243"/>
      <c r="E98" s="243"/>
      <c r="F98" s="172"/>
      <c r="I98" t="s">
        <v>578</v>
      </c>
      <c r="J98">
        <v>1200000</v>
      </c>
      <c r="K98">
        <v>1300000</v>
      </c>
      <c r="L98">
        <f t="shared" si="0"/>
        <v>2500000</v>
      </c>
      <c r="M98"/>
      <c r="N98"/>
    </row>
    <row r="99" spans="1:16" ht="20.25">
      <c r="A99" s="172"/>
      <c r="B99" s="243"/>
      <c r="C99" s="243"/>
      <c r="D99" s="243"/>
      <c r="E99" s="243"/>
      <c r="F99" s="172"/>
      <c r="I99" t="s">
        <v>580</v>
      </c>
      <c r="J99">
        <v>1200000</v>
      </c>
      <c r="K99">
        <v>1540000</v>
      </c>
      <c r="L99">
        <f t="shared" si="0"/>
        <v>2740000</v>
      </c>
      <c r="M99"/>
      <c r="N99"/>
    </row>
    <row r="100" spans="1:16" ht="20.25">
      <c r="A100" s="172"/>
      <c r="B100" s="243"/>
      <c r="C100" s="243"/>
      <c r="D100" s="243"/>
      <c r="E100" s="243"/>
      <c r="F100" s="172"/>
      <c r="I100" t="s">
        <v>582</v>
      </c>
      <c r="J100">
        <v>1200000</v>
      </c>
      <c r="K100">
        <v>1200000</v>
      </c>
      <c r="L100">
        <f t="shared" si="0"/>
        <v>2400000</v>
      </c>
      <c r="M100"/>
      <c r="N100"/>
    </row>
    <row r="101" spans="1:16" ht="20.25">
      <c r="A101" s="172"/>
      <c r="B101" s="243"/>
      <c r="C101" s="243"/>
      <c r="D101" s="243"/>
      <c r="E101" s="243"/>
      <c r="F101" s="172"/>
      <c r="I101" t="s">
        <v>584</v>
      </c>
      <c r="J101">
        <v>80000</v>
      </c>
      <c r="K101"/>
      <c r="L101">
        <f t="shared" si="0"/>
        <v>80000</v>
      </c>
      <c r="M101"/>
      <c r="N101"/>
    </row>
    <row r="102" spans="1:16" ht="20.25">
      <c r="A102" s="172"/>
      <c r="B102" s="243"/>
      <c r="C102" s="243"/>
      <c r="D102" s="243"/>
      <c r="E102" s="243"/>
      <c r="F102" s="172"/>
      <c r="I102" t="s">
        <v>583</v>
      </c>
      <c r="J102">
        <v>1200000</v>
      </c>
      <c r="K102">
        <v>3060000</v>
      </c>
      <c r="L102">
        <f t="shared" si="0"/>
        <v>4260000</v>
      </c>
      <c r="M102"/>
      <c r="N102"/>
    </row>
    <row r="103" spans="1:16" ht="20.25">
      <c r="A103" s="172"/>
      <c r="B103" s="243"/>
      <c r="C103" s="243"/>
      <c r="D103" s="243"/>
      <c r="E103" s="243"/>
      <c r="F103" s="172"/>
      <c r="I103" t="s">
        <v>585</v>
      </c>
      <c r="J103">
        <v>1200000</v>
      </c>
      <c r="K103">
        <v>5200000</v>
      </c>
      <c r="L103">
        <f t="shared" si="0"/>
        <v>6400000</v>
      </c>
      <c r="M103"/>
      <c r="N103"/>
    </row>
    <row r="104" spans="1:16" ht="20.25">
      <c r="A104" s="172"/>
      <c r="B104" s="243" t="s">
        <v>675</v>
      </c>
      <c r="C104" s="243"/>
      <c r="D104" s="243"/>
      <c r="E104" s="243"/>
      <c r="F104" s="172"/>
      <c r="I104" t="s">
        <v>438</v>
      </c>
      <c r="J104">
        <v>1200000</v>
      </c>
      <c r="K104"/>
      <c r="L104">
        <f t="shared" si="0"/>
        <v>1200000</v>
      </c>
      <c r="M104"/>
      <c r="N104"/>
    </row>
    <row r="105" spans="1:16" ht="20.25">
      <c r="A105" s="172"/>
      <c r="B105" s="243"/>
      <c r="C105" s="243"/>
      <c r="D105" s="243"/>
      <c r="E105" s="243"/>
      <c r="F105" s="172"/>
      <c r="I105" t="s">
        <v>587</v>
      </c>
      <c r="J105"/>
      <c r="K105"/>
      <c r="L105"/>
      <c r="M105"/>
      <c r="N105"/>
    </row>
    <row r="106" spans="1:16" ht="20.25">
      <c r="A106" s="172"/>
      <c r="B106" s="243"/>
      <c r="C106" s="243"/>
      <c r="D106" s="243"/>
      <c r="E106" s="243"/>
      <c r="F106" s="172"/>
      <c r="I106" t="s">
        <v>499</v>
      </c>
      <c r="J106"/>
      <c r="K106"/>
      <c r="L106"/>
      <c r="M106"/>
      <c r="N106"/>
      <c r="P106" s="164"/>
    </row>
    <row r="107" spans="1:16" ht="20.25">
      <c r="A107" s="172"/>
      <c r="B107" s="243"/>
      <c r="C107" s="243"/>
      <c r="D107" s="243"/>
      <c r="E107" s="243"/>
      <c r="F107" s="172"/>
      <c r="I107" t="s">
        <v>531</v>
      </c>
      <c r="J107"/>
      <c r="K107"/>
      <c r="L107"/>
      <c r="M107"/>
      <c r="N107"/>
    </row>
    <row r="108" spans="1:16" ht="20.25">
      <c r="A108" s="172"/>
      <c r="B108" s="243"/>
      <c r="C108" s="243"/>
      <c r="D108" s="243"/>
      <c r="E108" s="243"/>
      <c r="F108" s="172"/>
      <c r="I108"/>
      <c r="J108"/>
      <c r="K108"/>
      <c r="L108"/>
      <c r="M108"/>
      <c r="N108"/>
    </row>
    <row r="109" spans="1:16" ht="20.25">
      <c r="A109" s="172"/>
      <c r="B109" s="241"/>
      <c r="C109" s="241"/>
      <c r="D109" s="241"/>
      <c r="E109" s="241"/>
      <c r="F109" s="172"/>
    </row>
    <row r="110" spans="1:16" ht="20.25">
      <c r="B110" s="241"/>
      <c r="C110" s="241"/>
      <c r="D110" s="241"/>
      <c r="E110" s="241"/>
      <c r="J110" s="131">
        <f>SUM(J94:J109)</f>
        <v>14680000</v>
      </c>
      <c r="K110" s="131">
        <f>SUM(K94:K109)</f>
        <v>17840000</v>
      </c>
      <c r="L110" s="131">
        <f>SUM(J110:K110)</f>
        <v>32520000</v>
      </c>
    </row>
  </sheetData>
  <mergeCells count="13">
    <mergeCell ref="B38:E38"/>
    <mergeCell ref="B43:E43"/>
    <mergeCell ref="B52:E52"/>
    <mergeCell ref="B61:E61"/>
    <mergeCell ref="B6:E10"/>
    <mergeCell ref="B26:E28"/>
    <mergeCell ref="B29:E31"/>
    <mergeCell ref="B32:E34"/>
    <mergeCell ref="B11:E13"/>
    <mergeCell ref="B14:E16"/>
    <mergeCell ref="B17:E19"/>
    <mergeCell ref="B20:E22"/>
    <mergeCell ref="B23:E2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  <headerFooter scaleWithDoc="0">
    <oddFooter>&amp;C&amp;P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1"/>
    <pageSetUpPr fitToPage="1"/>
  </sheetPr>
  <dimension ref="A11:K12"/>
  <sheetViews>
    <sheetView view="pageBreakPreview" zoomScaleNormal="100" zoomScaleSheetLayoutView="100" workbookViewId="0">
      <selection activeCell="D32" sqref="D32"/>
    </sheetView>
  </sheetViews>
  <sheetFormatPr defaultRowHeight="16.5"/>
  <sheetData>
    <row r="11" spans="1:11" ht="61.5" customHeight="1">
      <c r="A11" s="3563"/>
      <c r="B11" s="3563"/>
      <c r="C11" s="3563"/>
      <c r="D11" s="3563"/>
      <c r="E11" s="3563"/>
      <c r="F11" s="3563"/>
      <c r="G11" s="3563"/>
      <c r="H11" s="3563"/>
      <c r="I11" s="3563"/>
      <c r="J11" s="3563"/>
      <c r="K11" s="3563"/>
    </row>
    <row r="12" spans="1:11" ht="16.5" customHeight="1"/>
  </sheetData>
  <mergeCells count="1">
    <mergeCell ref="A11:K11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scaleWithDoc="0"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N22"/>
  <sheetViews>
    <sheetView view="pageBreakPreview" zoomScaleNormal="100" zoomScaleSheetLayoutView="100" workbookViewId="0">
      <selection activeCell="F21" sqref="F21"/>
    </sheetView>
  </sheetViews>
  <sheetFormatPr defaultRowHeight="16.5"/>
  <cols>
    <col min="1" max="1" width="19.75" style="66" customWidth="1"/>
    <col min="2" max="3" width="15.625" style="65" customWidth="1"/>
    <col min="4" max="5" width="15.625" style="66" customWidth="1"/>
    <col min="6" max="6" width="15.625" style="214" customWidth="1"/>
    <col min="7" max="7" width="15.625" style="218" customWidth="1"/>
    <col min="8" max="8" width="9" style="66"/>
    <col min="9" max="9" width="11.875" style="66" bestFit="1" customWidth="1"/>
    <col min="10" max="10" width="14.625" style="66" bestFit="1" customWidth="1"/>
    <col min="11" max="11" width="14.625" style="67" bestFit="1" customWidth="1"/>
    <col min="12" max="12" width="11" style="67" bestFit="1" customWidth="1"/>
    <col min="13" max="13" width="11.875" style="66" bestFit="1" customWidth="1"/>
    <col min="14" max="16384" width="9" style="66"/>
  </cols>
  <sheetData>
    <row r="1" spans="1:14" s="63" customFormat="1" ht="50.1" customHeight="1">
      <c r="A1" s="3567" t="s">
        <v>1558</v>
      </c>
      <c r="B1" s="3567"/>
      <c r="C1" s="3567"/>
      <c r="D1" s="3567"/>
      <c r="E1" s="3567"/>
      <c r="F1" s="3567"/>
      <c r="G1" s="3567"/>
      <c r="K1" s="64"/>
      <c r="L1" s="64"/>
    </row>
    <row r="2" spans="1:14" ht="17.25">
      <c r="A2" s="65"/>
      <c r="D2" s="65"/>
      <c r="E2" s="65"/>
      <c r="F2" s="211"/>
      <c r="G2" s="215"/>
      <c r="M2" s="129"/>
      <c r="N2" s="129"/>
    </row>
    <row r="3" spans="1:14" ht="20.100000000000001" customHeight="1" thickBot="1">
      <c r="F3" s="3568" t="s">
        <v>549</v>
      </c>
      <c r="G3" s="3568"/>
    </row>
    <row r="4" spans="1:14" ht="24.95" customHeight="1">
      <c r="A4" s="3569" t="s">
        <v>550</v>
      </c>
      <c r="B4" s="3571" t="s">
        <v>1561</v>
      </c>
      <c r="C4" s="3571"/>
      <c r="D4" s="3571" t="s">
        <v>1563</v>
      </c>
      <c r="E4" s="3571"/>
      <c r="F4" s="3571" t="s">
        <v>551</v>
      </c>
      <c r="G4" s="3572"/>
    </row>
    <row r="5" spans="1:14" ht="24.95" customHeight="1">
      <c r="A5" s="3570"/>
      <c r="B5" s="398" t="s">
        <v>552</v>
      </c>
      <c r="C5" s="398" t="s">
        <v>553</v>
      </c>
      <c r="D5" s="398" t="s">
        <v>554</v>
      </c>
      <c r="E5" s="398" t="s">
        <v>555</v>
      </c>
      <c r="F5" s="399" t="s">
        <v>556</v>
      </c>
      <c r="G5" s="400" t="s">
        <v>557</v>
      </c>
    </row>
    <row r="6" spans="1:14" ht="35.25" customHeight="1">
      <c r="A6" s="68" t="s">
        <v>558</v>
      </c>
      <c r="B6" s="69">
        <f>SUM(B7:B10)</f>
        <v>8711827000</v>
      </c>
      <c r="C6" s="70">
        <f>SUM(C7:C10)</f>
        <v>0.99999999999999989</v>
      </c>
      <c r="D6" s="69">
        <f>ROUNDUP(SUM(D7:D10),-3)</f>
        <v>10222359000</v>
      </c>
      <c r="E6" s="70">
        <f>SUM(E7:E10)</f>
        <v>1</v>
      </c>
      <c r="F6" s="212">
        <f>B6-D6</f>
        <v>-1510532000</v>
      </c>
      <c r="G6" s="216">
        <f>+F6/D6</f>
        <v>-0.14776745758977941</v>
      </c>
      <c r="J6" s="67">
        <v>5914513000</v>
      </c>
    </row>
    <row r="7" spans="1:14" ht="32.25" customHeight="1">
      <c r="A7" s="3089" t="s">
        <v>559</v>
      </c>
      <c r="B7" s="3090">
        <f>세입예산총괄표3!B9+세입예산총괄표3!B17</f>
        <v>5914513000</v>
      </c>
      <c r="C7" s="3091">
        <f>+B7/$B$6</f>
        <v>0.67890615826048883</v>
      </c>
      <c r="D7" s="3090">
        <f>세입예산총괄표3!D9+세입예산총괄표3!D17</f>
        <v>5999764000</v>
      </c>
      <c r="E7" s="3091">
        <f>+D7/$D$6</f>
        <v>0.58692558146314366</v>
      </c>
      <c r="F7" s="3092">
        <f>B7-D7</f>
        <v>-85251000</v>
      </c>
      <c r="G7" s="3093">
        <f>+F7/D7</f>
        <v>-1.420905888964966E-2</v>
      </c>
      <c r="I7" s="67"/>
      <c r="J7" s="72">
        <f>B7-J6</f>
        <v>0</v>
      </c>
      <c r="M7" s="72"/>
    </row>
    <row r="8" spans="1:14" ht="32.25" customHeight="1">
      <c r="A8" s="3094" t="s">
        <v>560</v>
      </c>
      <c r="B8" s="3095">
        <v>2262104000</v>
      </c>
      <c r="C8" s="3096">
        <f>+B8/$B$6</f>
        <v>0.2596589670570823</v>
      </c>
      <c r="D8" s="3095">
        <v>3475150000</v>
      </c>
      <c r="E8" s="3096">
        <f>+D8/$D$6</f>
        <v>0.33995577733084897</v>
      </c>
      <c r="F8" s="3097">
        <f>B8-D8</f>
        <v>-1213046000</v>
      </c>
      <c r="G8" s="3098">
        <f>+F8/D8</f>
        <v>-0.34906291814741808</v>
      </c>
      <c r="J8" s="72"/>
    </row>
    <row r="9" spans="1:14" ht="32.25" customHeight="1">
      <c r="A9" s="3099" t="s">
        <v>797</v>
      </c>
      <c r="B9" s="3100">
        <v>0</v>
      </c>
      <c r="C9" s="3096">
        <f>+B9/$B$6</f>
        <v>0</v>
      </c>
      <c r="D9" s="3100">
        <f>세입예산총괄표3!D35</f>
        <v>65391000</v>
      </c>
      <c r="E9" s="3096">
        <f>+D9/$D$6</f>
        <v>6.3968600594050745E-3</v>
      </c>
      <c r="F9" s="3097">
        <f>B9-D9</f>
        <v>-65391000</v>
      </c>
      <c r="G9" s="3098">
        <f>+F9/D9</f>
        <v>-1</v>
      </c>
      <c r="J9" s="67">
        <v>5878391000</v>
      </c>
    </row>
    <row r="10" spans="1:14" ht="32.25" customHeight="1" thickBot="1">
      <c r="A10" s="3101" t="s">
        <v>561</v>
      </c>
      <c r="B10" s="3102">
        <f>세입예산총괄표3!B55+세입예산총괄표3!B81</f>
        <v>535210000</v>
      </c>
      <c r="C10" s="3103">
        <f>+B10/$B$6</f>
        <v>6.1434874682428843E-2</v>
      </c>
      <c r="D10" s="3102">
        <f>세입예산총괄표3!D55+세입예산총괄표3!D81</f>
        <v>682054000</v>
      </c>
      <c r="E10" s="3103">
        <f>+D10/$D$6</f>
        <v>6.6721781146602266E-2</v>
      </c>
      <c r="F10" s="3104">
        <f>B10-D10</f>
        <v>-146844000</v>
      </c>
      <c r="G10" s="3105">
        <f>+F10/D10</f>
        <v>-0.21529673603556318</v>
      </c>
    </row>
    <row r="12" spans="1:14">
      <c r="A12" s="67"/>
      <c r="B12" s="223"/>
      <c r="C12" s="71"/>
      <c r="D12" s="67"/>
      <c r="E12" s="67"/>
      <c r="F12" s="213"/>
      <c r="G12" s="217"/>
      <c r="H12" s="67"/>
      <c r="I12" s="67"/>
      <c r="J12" s="67"/>
    </row>
    <row r="13" spans="1:14">
      <c r="A13" s="67"/>
      <c r="C13" s="71"/>
      <c r="D13" s="67"/>
      <c r="E13" s="67"/>
      <c r="F13" s="213"/>
      <c r="G13" s="217"/>
      <c r="H13" s="67"/>
      <c r="I13" s="67"/>
      <c r="J13" s="67"/>
    </row>
    <row r="14" spans="1:14">
      <c r="A14" s="67"/>
      <c r="B14" s="223"/>
      <c r="C14" s="71"/>
      <c r="D14" s="67"/>
      <c r="E14" s="67"/>
      <c r="F14" s="213"/>
      <c r="G14" s="217"/>
      <c r="H14" s="67"/>
      <c r="I14" s="67"/>
      <c r="J14" s="67"/>
    </row>
    <row r="15" spans="1:14">
      <c r="A15" s="67"/>
      <c r="B15" s="223"/>
      <c r="C15" s="71"/>
      <c r="D15" s="67"/>
      <c r="E15" s="67"/>
      <c r="F15" s="213"/>
      <c r="G15" s="217"/>
      <c r="H15" s="67"/>
      <c r="I15" s="67"/>
      <c r="J15" s="67"/>
    </row>
    <row r="16" spans="1:14">
      <c r="A16" s="67"/>
      <c r="B16" s="224"/>
      <c r="C16" s="71"/>
      <c r="D16" s="67"/>
      <c r="E16" s="67"/>
      <c r="F16" s="213"/>
      <c r="G16" s="217"/>
      <c r="H16" s="67"/>
      <c r="I16" s="67"/>
      <c r="J16" s="67"/>
    </row>
    <row r="17" spans="1:10">
      <c r="A17" s="67"/>
      <c r="B17" s="223"/>
      <c r="C17" s="71"/>
      <c r="D17" s="67"/>
      <c r="E17" s="67"/>
      <c r="F17" s="213"/>
      <c r="G17" s="217"/>
      <c r="H17" s="67"/>
      <c r="I17" s="67"/>
      <c r="J17" s="67"/>
    </row>
    <row r="18" spans="1:10">
      <c r="B18" s="157"/>
      <c r="D18" s="72"/>
    </row>
    <row r="19" spans="1:10">
      <c r="B19" s="223"/>
      <c r="D19" s="72"/>
    </row>
    <row r="20" spans="1:10">
      <c r="B20" s="157"/>
      <c r="D20" s="72"/>
    </row>
    <row r="21" spans="1:10">
      <c r="B21" s="157"/>
      <c r="D21" s="72"/>
    </row>
    <row r="22" spans="1:10">
      <c r="B22" s="157"/>
    </row>
  </sheetData>
  <mergeCells count="6">
    <mergeCell ref="A1:G1"/>
    <mergeCell ref="F3:G3"/>
    <mergeCell ref="A4:A5"/>
    <mergeCell ref="B4:C4"/>
    <mergeCell ref="D4:E4"/>
    <mergeCell ref="F4:G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FC133"/>
  <sheetViews>
    <sheetView view="pageBreakPreview" zoomScaleNormal="100" zoomScaleSheetLayoutView="100" workbookViewId="0">
      <selection activeCell="M11" sqref="M11"/>
    </sheetView>
  </sheetViews>
  <sheetFormatPr defaultColWidth="9" defaultRowHeight="21.75" customHeight="1"/>
  <cols>
    <col min="1" max="1" width="24.5" style="62" customWidth="1"/>
    <col min="2" max="5" width="12.625" style="98" customWidth="1"/>
    <col min="6" max="8" width="12.625" style="99" customWidth="1"/>
    <col min="9" max="9" width="12.625" style="62" customWidth="1"/>
    <col min="10" max="13" width="12.625" style="202" customWidth="1"/>
    <col min="14" max="17" width="10.25" style="198" customWidth="1"/>
    <col min="18" max="19" width="9" style="62"/>
    <col min="20" max="20" width="10" style="62" bestFit="1" customWidth="1"/>
    <col min="21" max="16384" width="9" style="62"/>
  </cols>
  <sheetData>
    <row r="1" spans="1:159" s="75" customFormat="1" ht="47.25" customHeight="1">
      <c r="A1" s="3573" t="s">
        <v>2128</v>
      </c>
      <c r="B1" s="3573"/>
      <c r="C1" s="3573"/>
      <c r="D1" s="3573"/>
      <c r="E1" s="3573"/>
      <c r="F1" s="3573"/>
      <c r="G1" s="3573"/>
      <c r="H1" s="3573"/>
      <c r="I1" s="3573"/>
      <c r="J1" s="3573"/>
      <c r="K1" s="3573"/>
      <c r="L1" s="3573"/>
      <c r="M1" s="3573"/>
      <c r="N1" s="3573"/>
      <c r="O1" s="3573"/>
      <c r="P1" s="3573"/>
      <c r="Q1" s="3573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74"/>
      <c r="EA1" s="74"/>
      <c r="EB1" s="74"/>
      <c r="EC1" s="74"/>
      <c r="ED1" s="74"/>
      <c r="EE1" s="74"/>
      <c r="EF1" s="74"/>
      <c r="EG1" s="74"/>
      <c r="EH1" s="74"/>
      <c r="EI1" s="74"/>
      <c r="EJ1" s="74"/>
      <c r="EK1" s="74"/>
      <c r="EL1" s="74"/>
      <c r="EM1" s="74"/>
      <c r="EN1" s="74"/>
      <c r="EO1" s="74"/>
      <c r="EP1" s="74"/>
      <c r="EQ1" s="74"/>
      <c r="ER1" s="74"/>
      <c r="ES1" s="74"/>
      <c r="ET1" s="74"/>
      <c r="EU1" s="74"/>
      <c r="EV1" s="74"/>
      <c r="EW1" s="74"/>
      <c r="EX1" s="74"/>
      <c r="EY1" s="74"/>
      <c r="EZ1" s="74"/>
      <c r="FA1" s="74"/>
      <c r="FB1" s="74"/>
      <c r="FC1" s="74"/>
    </row>
    <row r="2" spans="1:159" s="75" customFormat="1" ht="17.25" customHeight="1">
      <c r="A2" s="3574"/>
      <c r="B2" s="3574"/>
      <c r="C2" s="3574"/>
      <c r="D2" s="3574"/>
      <c r="E2" s="3574"/>
      <c r="F2" s="3574"/>
      <c r="G2" s="3574"/>
      <c r="H2" s="3574"/>
      <c r="I2" s="3574"/>
      <c r="J2" s="3574"/>
      <c r="K2" s="3574"/>
      <c r="L2" s="3574"/>
      <c r="M2" s="3575"/>
      <c r="N2" s="3575"/>
      <c r="O2" s="3574"/>
      <c r="P2" s="3574"/>
      <c r="Q2" s="35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4"/>
      <c r="DC2" s="74"/>
      <c r="DD2" s="74"/>
      <c r="DE2" s="74"/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74"/>
      <c r="EF2" s="74"/>
      <c r="EG2" s="74"/>
      <c r="EH2" s="74"/>
      <c r="EI2" s="74"/>
      <c r="EJ2" s="74"/>
      <c r="EK2" s="74"/>
      <c r="EL2" s="74"/>
      <c r="EM2" s="74"/>
      <c r="EN2" s="74"/>
      <c r="EO2" s="74"/>
      <c r="EP2" s="74"/>
      <c r="EQ2" s="74"/>
      <c r="ER2" s="74"/>
      <c r="ES2" s="74"/>
      <c r="ET2" s="74"/>
      <c r="EU2" s="74"/>
      <c r="EV2" s="74"/>
      <c r="EW2" s="74"/>
      <c r="EX2" s="74"/>
      <c r="EY2" s="74"/>
      <c r="EZ2" s="74"/>
      <c r="FA2" s="74"/>
      <c r="FB2" s="74"/>
      <c r="FC2" s="74"/>
    </row>
    <row r="3" spans="1:159" s="75" customFormat="1" ht="21.75" customHeight="1" thickBot="1">
      <c r="A3" s="93"/>
      <c r="B3" s="93"/>
      <c r="C3" s="93"/>
      <c r="D3" s="93"/>
      <c r="E3" s="93"/>
      <c r="F3" s="93"/>
      <c r="G3" s="93"/>
      <c r="H3" s="93"/>
      <c r="I3" s="93"/>
      <c r="J3" s="3576" t="s">
        <v>596</v>
      </c>
      <c r="K3" s="3576"/>
      <c r="L3" s="3576"/>
      <c r="M3" s="3576"/>
      <c r="N3" s="3576"/>
      <c r="O3" s="3576"/>
      <c r="P3" s="3576"/>
      <c r="Q3" s="3576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74"/>
      <c r="DC3" s="74"/>
      <c r="DD3" s="74"/>
      <c r="DE3" s="74"/>
      <c r="DF3" s="74"/>
      <c r="DG3" s="74"/>
      <c r="DH3" s="74"/>
      <c r="DI3" s="74"/>
      <c r="DJ3" s="74"/>
      <c r="DK3" s="74"/>
      <c r="DL3" s="74"/>
      <c r="DM3" s="74"/>
      <c r="DN3" s="74"/>
      <c r="DO3" s="74"/>
      <c r="DP3" s="74"/>
      <c r="DQ3" s="74"/>
      <c r="DR3" s="74"/>
      <c r="DS3" s="74"/>
      <c r="DT3" s="74"/>
      <c r="DU3" s="74"/>
      <c r="DV3" s="74"/>
      <c r="DW3" s="74"/>
      <c r="DX3" s="74"/>
      <c r="DY3" s="74"/>
      <c r="DZ3" s="74"/>
      <c r="EA3" s="74"/>
      <c r="EB3" s="74"/>
      <c r="EC3" s="74"/>
      <c r="ED3" s="74"/>
      <c r="EE3" s="74"/>
      <c r="EF3" s="74"/>
      <c r="EG3" s="74"/>
      <c r="EH3" s="74"/>
      <c r="EI3" s="74"/>
      <c r="EJ3" s="74"/>
      <c r="EK3" s="74"/>
      <c r="EL3" s="74"/>
      <c r="EM3" s="74"/>
      <c r="EN3" s="74"/>
      <c r="EO3" s="74"/>
      <c r="EP3" s="74"/>
      <c r="EQ3" s="74"/>
      <c r="ER3" s="74"/>
      <c r="ES3" s="74"/>
      <c r="ET3" s="74"/>
      <c r="EU3" s="74"/>
      <c r="EV3" s="74"/>
      <c r="EW3" s="74"/>
      <c r="EX3" s="74"/>
      <c r="EY3" s="74"/>
      <c r="EZ3" s="74"/>
      <c r="FA3" s="74"/>
      <c r="FB3" s="74"/>
      <c r="FC3" s="74"/>
    </row>
    <row r="4" spans="1:159" s="80" customFormat="1" ht="28.5" customHeight="1">
      <c r="A4" s="3577" t="s">
        <v>597</v>
      </c>
      <c r="B4" s="3579" t="s">
        <v>1559</v>
      </c>
      <c r="C4" s="3580"/>
      <c r="D4" s="3580"/>
      <c r="E4" s="3581"/>
      <c r="F4" s="3579" t="s">
        <v>1562</v>
      </c>
      <c r="G4" s="3580"/>
      <c r="H4" s="3580"/>
      <c r="I4" s="3581"/>
      <c r="J4" s="3582" t="s">
        <v>2304</v>
      </c>
      <c r="K4" s="3583"/>
      <c r="L4" s="3583"/>
      <c r="M4" s="3584"/>
      <c r="N4" s="3585" t="s">
        <v>2305</v>
      </c>
      <c r="O4" s="3586"/>
      <c r="P4" s="3586"/>
      <c r="Q4" s="3587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/>
      <c r="EF4" s="79"/>
      <c r="EG4" s="79"/>
      <c r="EH4" s="79"/>
      <c r="EI4" s="79"/>
      <c r="EJ4" s="79"/>
      <c r="EK4" s="79"/>
      <c r="EL4" s="79"/>
      <c r="EM4" s="79"/>
      <c r="EN4" s="79"/>
      <c r="EO4" s="79"/>
      <c r="EP4" s="79"/>
      <c r="EQ4" s="79"/>
      <c r="ER4" s="79"/>
      <c r="ES4" s="79"/>
      <c r="ET4" s="79"/>
      <c r="EU4" s="79"/>
      <c r="EV4" s="79"/>
      <c r="EW4" s="79"/>
      <c r="EX4" s="79"/>
      <c r="EY4" s="79"/>
      <c r="EZ4" s="79"/>
      <c r="FA4" s="79"/>
      <c r="FB4" s="79"/>
      <c r="FC4" s="79"/>
    </row>
    <row r="5" spans="1:159" s="80" customFormat="1" ht="28.5" customHeight="1" thickBot="1">
      <c r="A5" s="3578"/>
      <c r="B5" s="247" t="s">
        <v>2296</v>
      </c>
      <c r="C5" s="248" t="s">
        <v>2297</v>
      </c>
      <c r="D5" s="248" t="s">
        <v>2298</v>
      </c>
      <c r="E5" s="249" t="s">
        <v>2299</v>
      </c>
      <c r="F5" s="247" t="s">
        <v>2301</v>
      </c>
      <c r="G5" s="248" t="s">
        <v>2300</v>
      </c>
      <c r="H5" s="248" t="s">
        <v>2302</v>
      </c>
      <c r="I5" s="249" t="s">
        <v>2303</v>
      </c>
      <c r="J5" s="250" t="s">
        <v>2296</v>
      </c>
      <c r="K5" s="251" t="str">
        <f>C5</f>
        <v>출연금</v>
      </c>
      <c r="L5" s="251" t="str">
        <f>D5</f>
        <v>보조금</v>
      </c>
      <c r="M5" s="252" t="str">
        <f>E5</f>
        <v>자부담</v>
      </c>
      <c r="N5" s="253" t="s">
        <v>2306</v>
      </c>
      <c r="O5" s="254" t="str">
        <f>K5</f>
        <v>출연금</v>
      </c>
      <c r="P5" s="254" t="str">
        <f>L5</f>
        <v>보조금</v>
      </c>
      <c r="Q5" s="255" t="str">
        <f>M5</f>
        <v>자부담</v>
      </c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  <c r="DT5" s="79"/>
      <c r="DU5" s="79"/>
      <c r="DV5" s="79"/>
      <c r="DW5" s="79"/>
      <c r="DX5" s="79"/>
      <c r="DY5" s="79"/>
      <c r="DZ5" s="79"/>
      <c r="EA5" s="79"/>
      <c r="EB5" s="79"/>
      <c r="EC5" s="79"/>
      <c r="ED5" s="79"/>
      <c r="EE5" s="79"/>
      <c r="EF5" s="79"/>
      <c r="EG5" s="79"/>
      <c r="EH5" s="79"/>
      <c r="EI5" s="79"/>
      <c r="EJ5" s="79"/>
      <c r="EK5" s="79"/>
      <c r="EL5" s="79"/>
      <c r="EM5" s="79"/>
      <c r="EN5" s="79"/>
      <c r="EO5" s="79"/>
      <c r="EP5" s="79"/>
      <c r="EQ5" s="79"/>
      <c r="ER5" s="79"/>
      <c r="ES5" s="79"/>
      <c r="ET5" s="79"/>
      <c r="EU5" s="79"/>
      <c r="EV5" s="79"/>
      <c r="EW5" s="79"/>
      <c r="EX5" s="79"/>
      <c r="EY5" s="79"/>
      <c r="EZ5" s="79"/>
      <c r="FA5" s="79"/>
      <c r="FB5" s="79"/>
      <c r="FC5" s="79"/>
    </row>
    <row r="6" spans="1:159" s="80" customFormat="1" ht="28.5" customHeight="1">
      <c r="A6" s="256" t="s">
        <v>600</v>
      </c>
      <c r="B6" s="257">
        <f>SUM(B7:B18)</f>
        <v>8711827000</v>
      </c>
      <c r="C6" s="258">
        <f t="shared" ref="C6:I6" si="0">SUM(C7:C18)</f>
        <v>5914513000</v>
      </c>
      <c r="D6" s="258">
        <f t="shared" si="0"/>
        <v>0</v>
      </c>
      <c r="E6" s="259">
        <f t="shared" si="0"/>
        <v>2797314000</v>
      </c>
      <c r="F6" s="257">
        <f>SUM(F7:F18)</f>
        <v>10222359000</v>
      </c>
      <c r="G6" s="258">
        <f t="shared" si="0"/>
        <v>5999764000</v>
      </c>
      <c r="H6" s="258">
        <f t="shared" si="0"/>
        <v>1553941000</v>
      </c>
      <c r="I6" s="259">
        <f t="shared" si="0"/>
        <v>2668654000</v>
      </c>
      <c r="J6" s="260">
        <f>SUM(J7:J18)</f>
        <v>-1510532000</v>
      </c>
      <c r="K6" s="261">
        <f>C6-G6</f>
        <v>-85251000</v>
      </c>
      <c r="L6" s="261">
        <f>D6-H6</f>
        <v>-1553941000</v>
      </c>
      <c r="M6" s="262">
        <f t="shared" ref="M6" si="1">E6-I6</f>
        <v>128660000</v>
      </c>
      <c r="N6" s="263">
        <f>J6/F6</f>
        <v>-0.14776745758977941</v>
      </c>
      <c r="O6" s="264">
        <f>K6/G6</f>
        <v>-1.420905888964966E-2</v>
      </c>
      <c r="P6" s="264">
        <f>L6/H6</f>
        <v>-1</v>
      </c>
      <c r="Q6" s="265">
        <f>M6/I6</f>
        <v>4.8211570327213647E-2</v>
      </c>
      <c r="R6" s="79"/>
      <c r="S6" s="182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9"/>
      <c r="DB6" s="79"/>
      <c r="DC6" s="79"/>
      <c r="DD6" s="79"/>
      <c r="DE6" s="79"/>
      <c r="DF6" s="79"/>
      <c r="DG6" s="79"/>
      <c r="DH6" s="79"/>
      <c r="DI6" s="79"/>
      <c r="DJ6" s="79"/>
      <c r="DK6" s="79"/>
      <c r="DL6" s="79"/>
      <c r="DM6" s="79"/>
      <c r="DN6" s="79"/>
      <c r="DO6" s="79"/>
      <c r="DP6" s="79"/>
      <c r="DQ6" s="79"/>
      <c r="DR6" s="79"/>
      <c r="DS6" s="79"/>
      <c r="DT6" s="79"/>
      <c r="DU6" s="79"/>
      <c r="DV6" s="79"/>
      <c r="DW6" s="79"/>
      <c r="DX6" s="79"/>
      <c r="DY6" s="79"/>
      <c r="DZ6" s="79"/>
      <c r="EA6" s="79"/>
      <c r="EB6" s="79"/>
      <c r="EC6" s="79"/>
      <c r="ED6" s="79"/>
      <c r="EE6" s="79"/>
      <c r="EF6" s="79"/>
      <c r="EG6" s="79"/>
      <c r="EH6" s="79"/>
      <c r="EI6" s="79"/>
      <c r="EJ6" s="79"/>
      <c r="EK6" s="79"/>
      <c r="EL6" s="79"/>
      <c r="EM6" s="79"/>
      <c r="EN6" s="79"/>
      <c r="EO6" s="79"/>
      <c r="EP6" s="79"/>
      <c r="EQ6" s="79"/>
      <c r="ER6" s="79"/>
      <c r="ES6" s="79"/>
      <c r="ET6" s="79"/>
      <c r="EU6" s="79"/>
      <c r="EV6" s="79"/>
      <c r="EW6" s="79"/>
      <c r="EX6" s="79"/>
      <c r="EY6" s="79"/>
      <c r="EZ6" s="79"/>
      <c r="FA6" s="79"/>
      <c r="FB6" s="79"/>
      <c r="FC6" s="79"/>
    </row>
    <row r="7" spans="1:159" s="80" customFormat="1" ht="28.5" customHeight="1">
      <c r="A7" s="403" t="s">
        <v>601</v>
      </c>
      <c r="B7" s="404">
        <v>3623469000</v>
      </c>
      <c r="C7" s="405">
        <v>3222569000</v>
      </c>
      <c r="D7" s="405">
        <v>0</v>
      </c>
      <c r="E7" s="406">
        <f>B7-C7</f>
        <v>400900000</v>
      </c>
      <c r="F7" s="404">
        <f>SUM(G7:I7)</f>
        <v>2147350000</v>
      </c>
      <c r="G7" s="407">
        <v>1600000000</v>
      </c>
      <c r="H7" s="407">
        <v>2800000</v>
      </c>
      <c r="I7" s="406">
        <v>544550000</v>
      </c>
      <c r="J7" s="408">
        <f>SUM(K7:M7)</f>
        <v>1476119000</v>
      </c>
      <c r="K7" s="409">
        <f>C7-G7</f>
        <v>1622569000</v>
      </c>
      <c r="L7" s="409">
        <f>D7-H7</f>
        <v>-2800000</v>
      </c>
      <c r="M7" s="410">
        <f t="shared" ref="L7:M8" si="2">E7-I7</f>
        <v>-143650000</v>
      </c>
      <c r="N7" s="411">
        <f t="shared" ref="N7:P8" si="3">J7/F7</f>
        <v>0.68741425477914642</v>
      </c>
      <c r="O7" s="412">
        <f>K7/G7</f>
        <v>1.014105625</v>
      </c>
      <c r="P7" s="412">
        <f t="shared" si="3"/>
        <v>-1</v>
      </c>
      <c r="Q7" s="413">
        <f>M7/I7</f>
        <v>-0.26379579469286568</v>
      </c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/>
      <c r="DY7" s="79"/>
      <c r="DZ7" s="79"/>
      <c r="EA7" s="79"/>
      <c r="EB7" s="79"/>
      <c r="EC7" s="79"/>
      <c r="ED7" s="79"/>
      <c r="EE7" s="79"/>
      <c r="EF7" s="79"/>
      <c r="EG7" s="79"/>
      <c r="EH7" s="79"/>
      <c r="EI7" s="79"/>
      <c r="EJ7" s="79"/>
      <c r="EK7" s="79"/>
      <c r="EL7" s="79"/>
      <c r="EM7" s="79"/>
      <c r="EN7" s="79"/>
      <c r="EO7" s="79"/>
      <c r="EP7" s="79"/>
      <c r="EQ7" s="79"/>
      <c r="ER7" s="79"/>
      <c r="ES7" s="79"/>
      <c r="ET7" s="79"/>
      <c r="EU7" s="79"/>
      <c r="EV7" s="79"/>
      <c r="EW7" s="79"/>
      <c r="EX7" s="79"/>
      <c r="EY7" s="79"/>
      <c r="EZ7" s="79"/>
      <c r="FA7" s="79"/>
      <c r="FB7" s="79"/>
      <c r="FC7" s="79"/>
    </row>
    <row r="8" spans="1:159" s="80" customFormat="1" ht="28.5" customHeight="1">
      <c r="A8" s="414" t="s">
        <v>591</v>
      </c>
      <c r="B8" s="415">
        <v>1143863000</v>
      </c>
      <c r="C8" s="416">
        <v>318913000</v>
      </c>
      <c r="D8" s="416">
        <v>0</v>
      </c>
      <c r="E8" s="417">
        <f>B8-C8</f>
        <v>824950000</v>
      </c>
      <c r="F8" s="415">
        <f>SUM(G8:I8)</f>
        <v>1644864000</v>
      </c>
      <c r="G8" s="418">
        <v>861000000</v>
      </c>
      <c r="H8" s="418">
        <v>29000000</v>
      </c>
      <c r="I8" s="417">
        <v>754864000</v>
      </c>
      <c r="J8" s="419">
        <f>SUM(K8:M8)</f>
        <v>-501001000</v>
      </c>
      <c r="K8" s="420">
        <f>C8-G8</f>
        <v>-542087000</v>
      </c>
      <c r="L8" s="420">
        <f t="shared" si="2"/>
        <v>-29000000</v>
      </c>
      <c r="M8" s="421">
        <f t="shared" si="2"/>
        <v>70086000</v>
      </c>
      <c r="N8" s="422">
        <f t="shared" si="3"/>
        <v>-0.30458505991984747</v>
      </c>
      <c r="O8" s="423">
        <f t="shared" si="3"/>
        <v>-0.62960162601626013</v>
      </c>
      <c r="P8" s="423">
        <f t="shared" si="3"/>
        <v>-1</v>
      </c>
      <c r="Q8" s="424">
        <f>M8/I8</f>
        <v>9.2845863625765704E-2</v>
      </c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  <c r="CL8" s="79"/>
      <c r="CM8" s="79"/>
      <c r="CN8" s="79"/>
      <c r="CO8" s="79"/>
      <c r="CP8" s="79"/>
      <c r="CQ8" s="79"/>
      <c r="CR8" s="79"/>
      <c r="CS8" s="79"/>
      <c r="CT8" s="79"/>
      <c r="CU8" s="79"/>
      <c r="CV8" s="79"/>
      <c r="CW8" s="79"/>
      <c r="CX8" s="79"/>
      <c r="CY8" s="79"/>
      <c r="CZ8" s="79"/>
      <c r="DA8" s="79"/>
      <c r="DB8" s="79"/>
      <c r="DC8" s="79"/>
      <c r="DD8" s="79"/>
      <c r="DE8" s="79"/>
      <c r="DF8" s="79"/>
      <c r="DG8" s="79"/>
      <c r="DH8" s="79"/>
      <c r="DI8" s="79"/>
      <c r="DJ8" s="79"/>
      <c r="DK8" s="79"/>
      <c r="DL8" s="79"/>
      <c r="DM8" s="79"/>
      <c r="DN8" s="79"/>
      <c r="DO8" s="79"/>
      <c r="DP8" s="79"/>
      <c r="DQ8" s="79"/>
      <c r="DR8" s="79"/>
      <c r="DS8" s="79"/>
      <c r="DT8" s="79"/>
      <c r="DU8" s="79"/>
      <c r="DV8" s="79"/>
      <c r="DW8" s="79"/>
      <c r="DX8" s="79"/>
      <c r="DY8" s="79"/>
      <c r="DZ8" s="79"/>
      <c r="EA8" s="79"/>
      <c r="EB8" s="79"/>
      <c r="EC8" s="79"/>
      <c r="ED8" s="79"/>
      <c r="EE8" s="79"/>
      <c r="EF8" s="79"/>
      <c r="EG8" s="79"/>
      <c r="EH8" s="79"/>
      <c r="EI8" s="79"/>
      <c r="EJ8" s="79"/>
      <c r="EK8" s="79"/>
      <c r="EL8" s="79"/>
      <c r="EM8" s="79"/>
      <c r="EN8" s="79"/>
      <c r="EO8" s="79"/>
      <c r="EP8" s="79"/>
      <c r="EQ8" s="79"/>
      <c r="ER8" s="79"/>
      <c r="ES8" s="79"/>
      <c r="ET8" s="79"/>
      <c r="EU8" s="79"/>
      <c r="EV8" s="79"/>
      <c r="EW8" s="79"/>
      <c r="EX8" s="79"/>
      <c r="EY8" s="79"/>
      <c r="EZ8" s="79"/>
      <c r="FA8" s="79"/>
      <c r="FB8" s="79"/>
      <c r="FC8" s="79"/>
    </row>
    <row r="9" spans="1:159" s="80" customFormat="1" ht="28.5" customHeight="1">
      <c r="A9" s="414" t="s">
        <v>602</v>
      </c>
      <c r="B9" s="415">
        <v>61498000</v>
      </c>
      <c r="C9" s="416">
        <v>61258000</v>
      </c>
      <c r="D9" s="416">
        <v>0</v>
      </c>
      <c r="E9" s="417">
        <f t="shared" ref="E9:E18" si="4">B9-C9</f>
        <v>240000</v>
      </c>
      <c r="F9" s="415">
        <f t="shared" ref="F9:F18" si="5">SUM(G9:I9)</f>
        <v>656844000</v>
      </c>
      <c r="G9" s="418">
        <v>324988000</v>
      </c>
      <c r="H9" s="418">
        <v>286300000</v>
      </c>
      <c r="I9" s="417">
        <v>45556000</v>
      </c>
      <c r="J9" s="419">
        <f t="shared" ref="J9:J18" si="6">SUM(K9:M9)</f>
        <v>-595346000</v>
      </c>
      <c r="K9" s="420">
        <f t="shared" ref="K9:K17" si="7">C9-G9</f>
        <v>-263730000</v>
      </c>
      <c r="L9" s="420">
        <f t="shared" ref="L9:M18" si="8">D9-H9</f>
        <v>-286300000</v>
      </c>
      <c r="M9" s="421">
        <f t="shared" si="8"/>
        <v>-45316000</v>
      </c>
      <c r="N9" s="422">
        <f t="shared" ref="N9:N18" si="9">J9/F9</f>
        <v>-0.90637350725590859</v>
      </c>
      <c r="O9" s="423">
        <f t="shared" ref="O9:O18" si="10">K9/G9</f>
        <v>-0.81150688640811353</v>
      </c>
      <c r="P9" s="423">
        <f>L9/H9</f>
        <v>-1</v>
      </c>
      <c r="Q9" s="424">
        <f t="shared" ref="Q9:Q18" si="11">M9/I9</f>
        <v>-0.99473175871454911</v>
      </c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9"/>
      <c r="DO9" s="79"/>
      <c r="DP9" s="79"/>
      <c r="DQ9" s="79"/>
      <c r="DR9" s="79"/>
      <c r="DS9" s="79"/>
      <c r="DT9" s="79"/>
      <c r="DU9" s="79"/>
      <c r="DV9" s="79"/>
      <c r="DW9" s="79"/>
      <c r="DX9" s="79"/>
      <c r="DY9" s="79"/>
      <c r="DZ9" s="79"/>
      <c r="EA9" s="79"/>
      <c r="EB9" s="79"/>
      <c r="EC9" s="79"/>
      <c r="ED9" s="79"/>
      <c r="EE9" s="79"/>
      <c r="EF9" s="79"/>
      <c r="EG9" s="79"/>
      <c r="EH9" s="79"/>
      <c r="EI9" s="79"/>
      <c r="EJ9" s="79"/>
      <c r="EK9" s="79"/>
      <c r="EL9" s="79"/>
      <c r="EM9" s="79"/>
      <c r="EN9" s="79"/>
      <c r="EO9" s="79"/>
      <c r="EP9" s="79"/>
      <c r="EQ9" s="79"/>
      <c r="ER9" s="79"/>
      <c r="ES9" s="79"/>
      <c r="ET9" s="79"/>
      <c r="EU9" s="79"/>
      <c r="EV9" s="79"/>
      <c r="EW9" s="79"/>
      <c r="EX9" s="79"/>
      <c r="EY9" s="79"/>
      <c r="EZ9" s="79"/>
      <c r="FA9" s="79"/>
      <c r="FB9" s="79"/>
      <c r="FC9" s="79"/>
    </row>
    <row r="10" spans="1:159" s="80" customFormat="1" ht="28.5" customHeight="1">
      <c r="A10" s="414" t="s">
        <v>592</v>
      </c>
      <c r="B10" s="415">
        <v>215312000</v>
      </c>
      <c r="C10" s="416">
        <v>184082000</v>
      </c>
      <c r="D10" s="416">
        <v>0</v>
      </c>
      <c r="E10" s="417">
        <f t="shared" si="4"/>
        <v>31230000</v>
      </c>
      <c r="F10" s="415">
        <f t="shared" si="5"/>
        <v>587720000</v>
      </c>
      <c r="G10" s="418">
        <v>331348000</v>
      </c>
      <c r="H10" s="418">
        <v>229944000</v>
      </c>
      <c r="I10" s="417">
        <v>26428000</v>
      </c>
      <c r="J10" s="419">
        <f t="shared" si="6"/>
        <v>-372408000</v>
      </c>
      <c r="K10" s="420">
        <f t="shared" si="7"/>
        <v>-147266000</v>
      </c>
      <c r="L10" s="420">
        <f t="shared" si="8"/>
        <v>-229944000</v>
      </c>
      <c r="M10" s="421">
        <f t="shared" si="8"/>
        <v>4802000</v>
      </c>
      <c r="N10" s="422">
        <f t="shared" si="9"/>
        <v>-0.63364867624038657</v>
      </c>
      <c r="O10" s="423">
        <f t="shared" si="10"/>
        <v>-0.44444511510556878</v>
      </c>
      <c r="P10" s="423">
        <f>L10/H10</f>
        <v>-1</v>
      </c>
      <c r="Q10" s="424">
        <f t="shared" si="11"/>
        <v>0.18170122597245345</v>
      </c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9"/>
      <c r="DW10" s="79"/>
      <c r="DX10" s="79"/>
      <c r="DY10" s="79"/>
      <c r="DZ10" s="79"/>
      <c r="EA10" s="79"/>
      <c r="EB10" s="79"/>
      <c r="EC10" s="79"/>
      <c r="ED10" s="79"/>
      <c r="EE10" s="79"/>
      <c r="EF10" s="79"/>
      <c r="EG10" s="79"/>
      <c r="EH10" s="79"/>
      <c r="EI10" s="79"/>
      <c r="EJ10" s="79"/>
      <c r="EK10" s="79"/>
      <c r="EL10" s="79"/>
      <c r="EM10" s="79"/>
      <c r="EN10" s="79"/>
      <c r="EO10" s="79"/>
      <c r="EP10" s="79"/>
      <c r="EQ10" s="79"/>
      <c r="ER10" s="79"/>
      <c r="ES10" s="79"/>
      <c r="ET10" s="79"/>
      <c r="EU10" s="79"/>
      <c r="EV10" s="79"/>
      <c r="EW10" s="79"/>
      <c r="EX10" s="79"/>
      <c r="EY10" s="79"/>
      <c r="EZ10" s="79"/>
      <c r="FA10" s="79"/>
      <c r="FB10" s="79"/>
      <c r="FC10" s="79"/>
    </row>
    <row r="11" spans="1:159" s="80" customFormat="1" ht="28.5" customHeight="1">
      <c r="A11" s="414" t="s">
        <v>312</v>
      </c>
      <c r="B11" s="415">
        <v>214777000</v>
      </c>
      <c r="C11" s="416">
        <v>86947000</v>
      </c>
      <c r="D11" s="416">
        <v>0</v>
      </c>
      <c r="E11" s="417">
        <f t="shared" si="4"/>
        <v>127830000</v>
      </c>
      <c r="F11" s="415">
        <f t="shared" si="5"/>
        <v>358832000</v>
      </c>
      <c r="G11" s="418">
        <v>216088000</v>
      </c>
      <c r="H11" s="418">
        <v>2000000</v>
      </c>
      <c r="I11" s="417">
        <v>140744000</v>
      </c>
      <c r="J11" s="419">
        <f t="shared" si="6"/>
        <v>-144055000</v>
      </c>
      <c r="K11" s="420">
        <f t="shared" si="7"/>
        <v>-129141000</v>
      </c>
      <c r="L11" s="420">
        <f t="shared" si="8"/>
        <v>-2000000</v>
      </c>
      <c r="M11" s="421">
        <f t="shared" si="8"/>
        <v>-12914000</v>
      </c>
      <c r="N11" s="422">
        <f t="shared" si="9"/>
        <v>-0.40145527712132695</v>
      </c>
      <c r="O11" s="423">
        <f t="shared" si="10"/>
        <v>-0.59763152049165158</v>
      </c>
      <c r="P11" s="423">
        <f>L11/H11</f>
        <v>-1</v>
      </c>
      <c r="Q11" s="424">
        <f t="shared" si="11"/>
        <v>-9.1755243562780656E-2</v>
      </c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9"/>
      <c r="DT11" s="79"/>
      <c r="DU11" s="79"/>
      <c r="DV11" s="79"/>
      <c r="DW11" s="79"/>
      <c r="DX11" s="79"/>
      <c r="DY11" s="79"/>
      <c r="DZ11" s="79"/>
      <c r="EA11" s="79"/>
      <c r="EB11" s="79"/>
      <c r="EC11" s="79"/>
      <c r="ED11" s="79"/>
      <c r="EE11" s="79"/>
      <c r="EF11" s="79"/>
      <c r="EG11" s="79"/>
      <c r="EH11" s="79"/>
      <c r="EI11" s="79"/>
      <c r="EJ11" s="79"/>
      <c r="EK11" s="79"/>
      <c r="EL11" s="79"/>
      <c r="EM11" s="79"/>
      <c r="EN11" s="79"/>
      <c r="EO11" s="79"/>
      <c r="EP11" s="79"/>
      <c r="EQ11" s="79"/>
      <c r="ER11" s="79"/>
      <c r="ES11" s="79"/>
      <c r="ET11" s="79"/>
      <c r="EU11" s="79"/>
      <c r="EV11" s="79"/>
      <c r="EW11" s="79"/>
      <c r="EX11" s="79"/>
      <c r="EY11" s="79"/>
      <c r="EZ11" s="79"/>
      <c r="FA11" s="79"/>
      <c r="FB11" s="79"/>
      <c r="FC11" s="79"/>
    </row>
    <row r="12" spans="1:159" s="80" customFormat="1" ht="28.5" customHeight="1">
      <c r="A12" s="414" t="s">
        <v>589</v>
      </c>
      <c r="B12" s="415">
        <v>16051000</v>
      </c>
      <c r="C12" s="416">
        <v>16041000</v>
      </c>
      <c r="D12" s="416">
        <v>0</v>
      </c>
      <c r="E12" s="417">
        <f t="shared" si="4"/>
        <v>10000</v>
      </c>
      <c r="F12" s="415">
        <f t="shared" si="5"/>
        <v>106242000</v>
      </c>
      <c r="G12" s="418">
        <v>65189000</v>
      </c>
      <c r="H12" s="418">
        <v>0</v>
      </c>
      <c r="I12" s="417">
        <v>41053000</v>
      </c>
      <c r="J12" s="419">
        <f t="shared" si="6"/>
        <v>-90191000</v>
      </c>
      <c r="K12" s="420">
        <f t="shared" si="7"/>
        <v>-49148000</v>
      </c>
      <c r="L12" s="420">
        <f t="shared" si="8"/>
        <v>0</v>
      </c>
      <c r="M12" s="421">
        <f t="shared" si="8"/>
        <v>-41043000</v>
      </c>
      <c r="N12" s="422">
        <f t="shared" si="9"/>
        <v>-0.84892038929990021</v>
      </c>
      <c r="O12" s="423">
        <f t="shared" si="10"/>
        <v>-0.75393087790884961</v>
      </c>
      <c r="P12" s="423"/>
      <c r="Q12" s="424">
        <f t="shared" si="11"/>
        <v>-0.99975641244245239</v>
      </c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9"/>
      <c r="DT12" s="79"/>
      <c r="DU12" s="79"/>
      <c r="DV12" s="79"/>
      <c r="DW12" s="79"/>
      <c r="DX12" s="79"/>
      <c r="DY12" s="79"/>
      <c r="DZ12" s="79"/>
      <c r="EA12" s="79"/>
      <c r="EB12" s="79"/>
      <c r="EC12" s="79"/>
      <c r="ED12" s="79"/>
      <c r="EE12" s="79"/>
      <c r="EF12" s="79"/>
      <c r="EG12" s="79"/>
      <c r="EH12" s="79"/>
      <c r="EI12" s="79"/>
      <c r="EJ12" s="79"/>
      <c r="EK12" s="79"/>
      <c r="EL12" s="79"/>
      <c r="EM12" s="79"/>
      <c r="EN12" s="79"/>
      <c r="EO12" s="79"/>
      <c r="EP12" s="79"/>
      <c r="EQ12" s="79"/>
      <c r="ER12" s="79"/>
      <c r="ES12" s="79"/>
      <c r="ET12" s="79"/>
      <c r="EU12" s="79"/>
      <c r="EV12" s="79"/>
      <c r="EW12" s="79"/>
      <c r="EX12" s="79"/>
      <c r="EY12" s="79"/>
      <c r="EZ12" s="79"/>
      <c r="FA12" s="79"/>
      <c r="FB12" s="79"/>
      <c r="FC12" s="79"/>
    </row>
    <row r="13" spans="1:159" s="80" customFormat="1" ht="28.5" customHeight="1">
      <c r="A13" s="414" t="s">
        <v>583</v>
      </c>
      <c r="B13" s="415">
        <v>914627000</v>
      </c>
      <c r="C13" s="416">
        <v>423402000</v>
      </c>
      <c r="D13" s="416">
        <v>0</v>
      </c>
      <c r="E13" s="417">
        <f t="shared" si="4"/>
        <v>491225000</v>
      </c>
      <c r="F13" s="415">
        <f t="shared" si="5"/>
        <v>1345286000</v>
      </c>
      <c r="G13" s="418">
        <v>1200000000</v>
      </c>
      <c r="H13" s="418">
        <v>0</v>
      </c>
      <c r="I13" s="417">
        <v>145286000</v>
      </c>
      <c r="J13" s="419">
        <f t="shared" si="6"/>
        <v>-430659000</v>
      </c>
      <c r="K13" s="420">
        <f t="shared" si="7"/>
        <v>-776598000</v>
      </c>
      <c r="L13" s="420">
        <f t="shared" si="8"/>
        <v>0</v>
      </c>
      <c r="M13" s="421">
        <f t="shared" si="8"/>
        <v>345939000</v>
      </c>
      <c r="N13" s="422">
        <f t="shared" si="9"/>
        <v>-0.32012449397377213</v>
      </c>
      <c r="O13" s="423">
        <f t="shared" si="10"/>
        <v>-0.64716499999999999</v>
      </c>
      <c r="P13" s="423"/>
      <c r="Q13" s="424">
        <f t="shared" si="11"/>
        <v>2.3810897127045965</v>
      </c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9"/>
      <c r="DC13" s="79"/>
      <c r="DD13" s="79"/>
      <c r="DE13" s="79"/>
      <c r="DF13" s="79"/>
      <c r="DG13" s="79"/>
      <c r="DH13" s="79"/>
      <c r="DI13" s="79"/>
      <c r="DJ13" s="79"/>
      <c r="DK13" s="79"/>
      <c r="DL13" s="79"/>
      <c r="DM13" s="79"/>
      <c r="DN13" s="79"/>
      <c r="DO13" s="79"/>
      <c r="DP13" s="79"/>
      <c r="DQ13" s="79"/>
      <c r="DR13" s="79"/>
      <c r="DS13" s="79"/>
      <c r="DT13" s="79"/>
      <c r="DU13" s="79"/>
      <c r="DV13" s="79"/>
      <c r="DW13" s="79"/>
      <c r="DX13" s="79"/>
      <c r="DY13" s="79"/>
      <c r="DZ13" s="79"/>
      <c r="EA13" s="79"/>
      <c r="EB13" s="79"/>
      <c r="EC13" s="79"/>
      <c r="ED13" s="79"/>
      <c r="EE13" s="79"/>
      <c r="EF13" s="79"/>
      <c r="EG13" s="79"/>
      <c r="EH13" s="79"/>
      <c r="EI13" s="79"/>
      <c r="EJ13" s="79"/>
      <c r="EK13" s="79"/>
      <c r="EL13" s="79"/>
      <c r="EM13" s="79"/>
      <c r="EN13" s="79"/>
      <c r="EO13" s="79"/>
      <c r="EP13" s="79"/>
      <c r="EQ13" s="79"/>
      <c r="ER13" s="79"/>
      <c r="ES13" s="79"/>
      <c r="ET13" s="79"/>
      <c r="EU13" s="79"/>
      <c r="EV13" s="79"/>
      <c r="EW13" s="79"/>
      <c r="EX13" s="79"/>
      <c r="EY13" s="79"/>
      <c r="EZ13" s="79"/>
      <c r="FA13" s="79"/>
      <c r="FB13" s="79"/>
      <c r="FC13" s="79"/>
    </row>
    <row r="14" spans="1:159" s="80" customFormat="1" ht="28.5" customHeight="1">
      <c r="A14" s="425" t="s">
        <v>593</v>
      </c>
      <c r="B14" s="415">
        <v>1749582000</v>
      </c>
      <c r="C14" s="418">
        <v>931104000</v>
      </c>
      <c r="D14" s="418">
        <v>0</v>
      </c>
      <c r="E14" s="417">
        <f t="shared" si="4"/>
        <v>818478000</v>
      </c>
      <c r="F14" s="415">
        <f t="shared" si="5"/>
        <v>1947236000</v>
      </c>
      <c r="G14" s="418">
        <v>822500000</v>
      </c>
      <c r="H14" s="418">
        <v>235394000</v>
      </c>
      <c r="I14" s="417">
        <v>889342000</v>
      </c>
      <c r="J14" s="419">
        <f t="shared" si="6"/>
        <v>-197654000</v>
      </c>
      <c r="K14" s="420">
        <f t="shared" si="7"/>
        <v>108604000</v>
      </c>
      <c r="L14" s="420">
        <f t="shared" si="8"/>
        <v>-235394000</v>
      </c>
      <c r="M14" s="421">
        <f t="shared" si="8"/>
        <v>-70864000</v>
      </c>
      <c r="N14" s="422">
        <f t="shared" si="9"/>
        <v>-0.10150490233335867</v>
      </c>
      <c r="O14" s="423">
        <f t="shared" si="10"/>
        <v>0.13204133738601823</v>
      </c>
      <c r="P14" s="423">
        <f>L14/H14</f>
        <v>-1</v>
      </c>
      <c r="Q14" s="424">
        <f t="shared" si="11"/>
        <v>-7.9681382415313792E-2</v>
      </c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9"/>
      <c r="DT14" s="79"/>
      <c r="DU14" s="79"/>
      <c r="DV14" s="79"/>
      <c r="DW14" s="79"/>
      <c r="DX14" s="79"/>
      <c r="DY14" s="79"/>
      <c r="DZ14" s="79"/>
      <c r="EA14" s="79"/>
      <c r="EB14" s="79"/>
      <c r="EC14" s="79"/>
      <c r="ED14" s="79"/>
      <c r="EE14" s="79"/>
      <c r="EF14" s="79"/>
      <c r="EG14" s="79"/>
      <c r="EH14" s="79"/>
      <c r="EI14" s="79"/>
      <c r="EJ14" s="79"/>
      <c r="EK14" s="79"/>
      <c r="EL14" s="79"/>
      <c r="EM14" s="79"/>
      <c r="EN14" s="79"/>
      <c r="EO14" s="79"/>
      <c r="EP14" s="79"/>
      <c r="EQ14" s="79"/>
      <c r="ER14" s="79"/>
      <c r="ES14" s="79"/>
      <c r="ET14" s="79"/>
      <c r="EU14" s="79"/>
      <c r="EV14" s="79"/>
      <c r="EW14" s="79"/>
      <c r="EX14" s="79"/>
      <c r="EY14" s="79"/>
      <c r="EZ14" s="79"/>
      <c r="FA14" s="79"/>
      <c r="FB14" s="79"/>
      <c r="FC14" s="79"/>
    </row>
    <row r="15" spans="1:159" s="80" customFormat="1" ht="28.5" customHeight="1">
      <c r="A15" s="426" t="s">
        <v>594</v>
      </c>
      <c r="B15" s="415">
        <v>424075000</v>
      </c>
      <c r="C15" s="418">
        <v>375948000</v>
      </c>
      <c r="D15" s="418">
        <v>0</v>
      </c>
      <c r="E15" s="417">
        <f t="shared" si="4"/>
        <v>48127000</v>
      </c>
      <c r="F15" s="415">
        <f t="shared" si="5"/>
        <v>1115590000</v>
      </c>
      <c r="G15" s="418">
        <v>323393000</v>
      </c>
      <c r="H15" s="418">
        <v>768503000</v>
      </c>
      <c r="I15" s="417">
        <v>23694000</v>
      </c>
      <c r="J15" s="419">
        <f t="shared" si="6"/>
        <v>-691515000</v>
      </c>
      <c r="K15" s="420">
        <f t="shared" si="7"/>
        <v>52555000</v>
      </c>
      <c r="L15" s="420">
        <f t="shared" si="8"/>
        <v>-768503000</v>
      </c>
      <c r="M15" s="421">
        <f t="shared" si="8"/>
        <v>24433000</v>
      </c>
      <c r="N15" s="422">
        <f t="shared" si="9"/>
        <v>-0.61986482489086492</v>
      </c>
      <c r="O15" s="423">
        <f t="shared" si="10"/>
        <v>0.16251124792435209</v>
      </c>
      <c r="P15" s="423">
        <f>L15/H15</f>
        <v>-1</v>
      </c>
      <c r="Q15" s="424">
        <f t="shared" si="11"/>
        <v>1.0311893306322275</v>
      </c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79"/>
      <c r="CU15" s="79"/>
      <c r="CV15" s="79"/>
      <c r="CW15" s="79"/>
      <c r="CX15" s="79"/>
      <c r="CY15" s="79"/>
      <c r="CZ15" s="79"/>
      <c r="DA15" s="79"/>
      <c r="DB15" s="79"/>
      <c r="DC15" s="79"/>
      <c r="DD15" s="79"/>
      <c r="DE15" s="79"/>
      <c r="DF15" s="79"/>
      <c r="DG15" s="79"/>
      <c r="DH15" s="79"/>
      <c r="DI15" s="79"/>
      <c r="DJ15" s="79"/>
      <c r="DK15" s="79"/>
      <c r="DL15" s="79"/>
      <c r="DM15" s="79"/>
      <c r="DN15" s="79"/>
      <c r="DO15" s="79"/>
      <c r="DP15" s="79"/>
      <c r="DQ15" s="79"/>
      <c r="DR15" s="79"/>
      <c r="DS15" s="79"/>
      <c r="DT15" s="79"/>
      <c r="DU15" s="79"/>
      <c r="DV15" s="79"/>
      <c r="DW15" s="79"/>
      <c r="DX15" s="79"/>
      <c r="DY15" s="79"/>
      <c r="DZ15" s="79"/>
      <c r="EA15" s="79"/>
      <c r="EB15" s="79"/>
      <c r="EC15" s="79"/>
      <c r="ED15" s="79"/>
      <c r="EE15" s="79"/>
      <c r="EF15" s="79"/>
      <c r="EG15" s="79"/>
      <c r="EH15" s="79"/>
      <c r="EI15" s="79"/>
      <c r="EJ15" s="79"/>
      <c r="EK15" s="79"/>
      <c r="EL15" s="79"/>
      <c r="EM15" s="79"/>
      <c r="EN15" s="79"/>
      <c r="EO15" s="79"/>
      <c r="EP15" s="79"/>
      <c r="EQ15" s="79"/>
      <c r="ER15" s="79"/>
      <c r="ES15" s="79"/>
      <c r="ET15" s="79"/>
      <c r="EU15" s="79"/>
      <c r="EV15" s="79"/>
      <c r="EW15" s="79"/>
      <c r="EX15" s="79"/>
      <c r="EY15" s="79"/>
      <c r="EZ15" s="79"/>
      <c r="FA15" s="79"/>
      <c r="FB15" s="79"/>
      <c r="FC15" s="79"/>
    </row>
    <row r="16" spans="1:159" s="80" customFormat="1" ht="28.5" customHeight="1">
      <c r="A16" s="425" t="s">
        <v>590</v>
      </c>
      <c r="B16" s="415">
        <v>155824000</v>
      </c>
      <c r="C16" s="418">
        <v>116324000</v>
      </c>
      <c r="D16" s="418">
        <v>0</v>
      </c>
      <c r="E16" s="417">
        <f t="shared" si="4"/>
        <v>39500000</v>
      </c>
      <c r="F16" s="415">
        <f t="shared" si="5"/>
        <v>153106000</v>
      </c>
      <c r="G16" s="418">
        <v>118473000</v>
      </c>
      <c r="H16" s="418">
        <v>0</v>
      </c>
      <c r="I16" s="417">
        <v>34633000</v>
      </c>
      <c r="J16" s="419">
        <f t="shared" si="6"/>
        <v>2718000</v>
      </c>
      <c r="K16" s="420">
        <f t="shared" si="7"/>
        <v>-2149000</v>
      </c>
      <c r="L16" s="420">
        <f t="shared" si="8"/>
        <v>0</v>
      </c>
      <c r="M16" s="421">
        <f t="shared" si="8"/>
        <v>4867000</v>
      </c>
      <c r="N16" s="422">
        <f t="shared" si="9"/>
        <v>1.7752406829255548E-2</v>
      </c>
      <c r="O16" s="423">
        <f t="shared" si="10"/>
        <v>-1.8139154068859572E-2</v>
      </c>
      <c r="P16" s="423"/>
      <c r="Q16" s="424">
        <f t="shared" si="11"/>
        <v>0.14053070770652268</v>
      </c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/>
      <c r="DS16" s="79"/>
      <c r="DT16" s="79"/>
      <c r="DU16" s="79"/>
      <c r="DV16" s="79"/>
      <c r="DW16" s="79"/>
      <c r="DX16" s="79"/>
      <c r="DY16" s="79"/>
      <c r="DZ16" s="79"/>
      <c r="EA16" s="79"/>
      <c r="EB16" s="79"/>
      <c r="EC16" s="79"/>
      <c r="ED16" s="79"/>
      <c r="EE16" s="79"/>
      <c r="EF16" s="79"/>
      <c r="EG16" s="79"/>
      <c r="EH16" s="79"/>
      <c r="EI16" s="79"/>
      <c r="EJ16" s="79"/>
      <c r="EK16" s="79"/>
      <c r="EL16" s="79"/>
      <c r="EM16" s="79"/>
      <c r="EN16" s="79"/>
      <c r="EO16" s="79"/>
      <c r="EP16" s="79"/>
      <c r="EQ16" s="79"/>
      <c r="ER16" s="79"/>
      <c r="ES16" s="79"/>
      <c r="ET16" s="79"/>
      <c r="EU16" s="79"/>
      <c r="EV16" s="79"/>
      <c r="EW16" s="79"/>
      <c r="EX16" s="79"/>
      <c r="EY16" s="79"/>
      <c r="EZ16" s="79"/>
      <c r="FA16" s="79"/>
      <c r="FB16" s="79"/>
      <c r="FC16" s="79"/>
    </row>
    <row r="17" spans="1:159" s="80" customFormat="1" ht="28.5" customHeight="1">
      <c r="A17" s="425" t="s">
        <v>499</v>
      </c>
      <c r="B17" s="415">
        <v>101394000</v>
      </c>
      <c r="C17" s="418">
        <v>89380000</v>
      </c>
      <c r="D17" s="418">
        <v>0</v>
      </c>
      <c r="E17" s="417">
        <f t="shared" si="4"/>
        <v>12014000</v>
      </c>
      <c r="F17" s="415">
        <f t="shared" si="5"/>
        <v>89509000</v>
      </c>
      <c r="G17" s="418">
        <v>69415000</v>
      </c>
      <c r="H17" s="418">
        <v>0</v>
      </c>
      <c r="I17" s="417">
        <v>20094000</v>
      </c>
      <c r="J17" s="419">
        <f t="shared" si="6"/>
        <v>11885000</v>
      </c>
      <c r="K17" s="420">
        <f t="shared" si="7"/>
        <v>19965000</v>
      </c>
      <c r="L17" s="420">
        <f t="shared" si="8"/>
        <v>0</v>
      </c>
      <c r="M17" s="421">
        <f t="shared" si="8"/>
        <v>-8080000</v>
      </c>
      <c r="N17" s="422">
        <f t="shared" si="9"/>
        <v>0.13277994391625422</v>
      </c>
      <c r="O17" s="423">
        <f t="shared" si="10"/>
        <v>0.28761795001080459</v>
      </c>
      <c r="P17" s="423"/>
      <c r="Q17" s="424">
        <f t="shared" si="11"/>
        <v>-0.40211008261172487</v>
      </c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79"/>
      <c r="DT17" s="79"/>
      <c r="DU17" s="79"/>
      <c r="DV17" s="79"/>
      <c r="DW17" s="79"/>
      <c r="DX17" s="79"/>
      <c r="DY17" s="79"/>
      <c r="DZ17" s="79"/>
      <c r="EA17" s="79"/>
      <c r="EB17" s="79"/>
      <c r="EC17" s="79"/>
      <c r="ED17" s="79"/>
      <c r="EE17" s="79"/>
      <c r="EF17" s="79"/>
      <c r="EG17" s="79"/>
      <c r="EH17" s="79"/>
      <c r="EI17" s="79"/>
      <c r="EJ17" s="79"/>
      <c r="EK17" s="79"/>
      <c r="EL17" s="79"/>
      <c r="EM17" s="79"/>
      <c r="EN17" s="79"/>
      <c r="EO17" s="79"/>
      <c r="EP17" s="79"/>
      <c r="EQ17" s="79"/>
      <c r="ER17" s="79"/>
      <c r="ES17" s="79"/>
      <c r="ET17" s="79"/>
      <c r="EU17" s="79"/>
      <c r="EV17" s="79"/>
      <c r="EW17" s="79"/>
      <c r="EX17" s="79"/>
      <c r="EY17" s="79"/>
      <c r="EZ17" s="79"/>
      <c r="FA17" s="79"/>
      <c r="FB17" s="79"/>
      <c r="FC17" s="79"/>
    </row>
    <row r="18" spans="1:159" s="80" customFormat="1" ht="28.5" customHeight="1" thickBot="1">
      <c r="A18" s="427" t="s">
        <v>531</v>
      </c>
      <c r="B18" s="428">
        <v>91355000</v>
      </c>
      <c r="C18" s="429">
        <v>88545000</v>
      </c>
      <c r="D18" s="429">
        <v>0</v>
      </c>
      <c r="E18" s="430">
        <f t="shared" si="4"/>
        <v>2810000</v>
      </c>
      <c r="F18" s="428">
        <f t="shared" si="5"/>
        <v>69780000</v>
      </c>
      <c r="G18" s="429">
        <v>67370000</v>
      </c>
      <c r="H18" s="429">
        <v>0</v>
      </c>
      <c r="I18" s="430">
        <v>2410000</v>
      </c>
      <c r="J18" s="431">
        <f t="shared" si="6"/>
        <v>21575000</v>
      </c>
      <c r="K18" s="432">
        <f>C18-G18</f>
        <v>21175000</v>
      </c>
      <c r="L18" s="432">
        <f t="shared" si="8"/>
        <v>0</v>
      </c>
      <c r="M18" s="433">
        <f t="shared" si="8"/>
        <v>400000</v>
      </c>
      <c r="N18" s="434">
        <f t="shared" si="9"/>
        <v>0.30918601318429351</v>
      </c>
      <c r="O18" s="435">
        <f t="shared" si="10"/>
        <v>0.31430903963188361</v>
      </c>
      <c r="P18" s="435"/>
      <c r="Q18" s="436">
        <f t="shared" si="11"/>
        <v>0.16597510373443983</v>
      </c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79"/>
      <c r="CO18" s="79"/>
      <c r="CP18" s="79"/>
      <c r="CQ18" s="79"/>
      <c r="CR18" s="79"/>
      <c r="CS18" s="79"/>
      <c r="CT18" s="79"/>
      <c r="CU18" s="79"/>
      <c r="CV18" s="79"/>
      <c r="CW18" s="79"/>
      <c r="CX18" s="79"/>
      <c r="CY18" s="79"/>
      <c r="CZ18" s="79"/>
      <c r="DA18" s="79"/>
      <c r="DB18" s="79"/>
      <c r="DC18" s="79"/>
      <c r="DD18" s="79"/>
      <c r="DE18" s="79"/>
      <c r="DF18" s="79"/>
      <c r="DG18" s="79"/>
      <c r="DH18" s="79"/>
      <c r="DI18" s="79"/>
      <c r="DJ18" s="79"/>
      <c r="DK18" s="79"/>
      <c r="DL18" s="79"/>
      <c r="DM18" s="79"/>
      <c r="DN18" s="79"/>
      <c r="DO18" s="79"/>
      <c r="DP18" s="79"/>
      <c r="DQ18" s="79"/>
      <c r="DR18" s="79"/>
      <c r="DS18" s="79"/>
      <c r="DT18" s="79"/>
      <c r="DU18" s="79"/>
      <c r="DV18" s="79"/>
      <c r="DW18" s="79"/>
      <c r="DX18" s="79"/>
      <c r="DY18" s="79"/>
      <c r="DZ18" s="79"/>
      <c r="EA18" s="79"/>
      <c r="EB18" s="79"/>
      <c r="EC18" s="79"/>
      <c r="ED18" s="79"/>
      <c r="EE18" s="79"/>
      <c r="EF18" s="79"/>
      <c r="EG18" s="79"/>
      <c r="EH18" s="79"/>
      <c r="EI18" s="79"/>
      <c r="EJ18" s="79"/>
      <c r="EK18" s="79"/>
      <c r="EL18" s="79"/>
      <c r="EM18" s="79"/>
      <c r="EN18" s="79"/>
      <c r="EO18" s="79"/>
      <c r="EP18" s="79"/>
      <c r="EQ18" s="79"/>
      <c r="ER18" s="79"/>
      <c r="ES18" s="79"/>
      <c r="ET18" s="79"/>
      <c r="EU18" s="79"/>
      <c r="EV18" s="79"/>
      <c r="EW18" s="79"/>
      <c r="EX18" s="79"/>
      <c r="EY18" s="79"/>
      <c r="EZ18" s="79"/>
      <c r="FA18" s="79"/>
      <c r="FB18" s="79"/>
      <c r="FC18" s="79"/>
    </row>
    <row r="19" spans="1:159" s="90" customFormat="1" ht="21.95" customHeight="1">
      <c r="B19" s="94"/>
      <c r="C19" s="94"/>
      <c r="D19" s="94"/>
      <c r="E19" s="94"/>
      <c r="F19" s="95"/>
      <c r="G19" s="95"/>
      <c r="H19" s="95"/>
      <c r="J19" s="201"/>
      <c r="K19" s="201"/>
      <c r="L19" s="201"/>
      <c r="M19" s="201"/>
      <c r="N19" s="197"/>
      <c r="O19" s="197"/>
      <c r="P19" s="197"/>
      <c r="Q19" s="197"/>
    </row>
    <row r="20" spans="1:159" s="90" customFormat="1" ht="21.95" customHeight="1">
      <c r="B20" s="94"/>
      <c r="C20" s="94"/>
      <c r="D20" s="94"/>
      <c r="E20" s="181"/>
      <c r="F20" s="95"/>
      <c r="G20" s="95"/>
      <c r="H20" s="95"/>
      <c r="I20" s="96"/>
      <c r="J20" s="201"/>
      <c r="K20" s="201"/>
      <c r="L20" s="201"/>
      <c r="M20" s="201"/>
      <c r="N20" s="197"/>
      <c r="O20" s="197"/>
      <c r="P20" s="197"/>
      <c r="Q20" s="197"/>
    </row>
    <row r="21" spans="1:159" s="90" customFormat="1" ht="16.5">
      <c r="B21" s="94"/>
      <c r="C21" s="94"/>
      <c r="D21" s="94"/>
      <c r="E21" s="181"/>
      <c r="F21" s="95"/>
      <c r="G21" s="95"/>
      <c r="H21" s="95"/>
      <c r="I21" s="96"/>
      <c r="J21" s="201"/>
      <c r="K21" s="201"/>
      <c r="L21" s="201"/>
      <c r="M21" s="201"/>
      <c r="N21" s="197"/>
      <c r="O21" s="197"/>
      <c r="P21" s="197"/>
      <c r="Q21" s="197"/>
    </row>
    <row r="22" spans="1:159" s="90" customFormat="1" ht="16.5">
      <c r="B22" s="94"/>
      <c r="C22" s="94"/>
      <c r="D22" s="94"/>
      <c r="E22" s="181"/>
      <c r="F22" s="95"/>
      <c r="G22" s="95"/>
      <c r="H22" s="95"/>
      <c r="I22" s="96"/>
      <c r="J22" s="201"/>
      <c r="K22" s="201"/>
      <c r="L22" s="201"/>
      <c r="M22" s="201"/>
      <c r="N22" s="197"/>
      <c r="O22" s="197"/>
      <c r="P22" s="197"/>
      <c r="Q22" s="197"/>
    </row>
    <row r="23" spans="1:159" s="90" customFormat="1" ht="16.5">
      <c r="B23" s="94"/>
      <c r="C23" s="94"/>
      <c r="D23" s="94"/>
      <c r="E23" s="181"/>
      <c r="F23" s="95"/>
      <c r="G23" s="95"/>
      <c r="H23" s="95"/>
      <c r="I23" s="96"/>
      <c r="J23" s="201"/>
      <c r="K23" s="201"/>
      <c r="L23" s="201"/>
      <c r="M23" s="201"/>
      <c r="N23" s="197"/>
      <c r="O23" s="197"/>
      <c r="P23" s="197"/>
      <c r="Q23" s="197"/>
    </row>
    <row r="24" spans="1:159" s="90" customFormat="1" ht="16.5">
      <c r="B24" s="94"/>
      <c r="C24" s="94"/>
      <c r="D24" s="94"/>
      <c r="E24" s="181"/>
      <c r="F24" s="95"/>
      <c r="G24" s="95"/>
      <c r="H24" s="95"/>
      <c r="I24" s="96"/>
      <c r="J24" s="201"/>
      <c r="K24" s="201"/>
      <c r="L24" s="201"/>
      <c r="M24" s="201"/>
      <c r="N24" s="197"/>
      <c r="O24" s="197"/>
      <c r="P24" s="197"/>
      <c r="Q24" s="197"/>
    </row>
    <row r="25" spans="1:159" s="90" customFormat="1" ht="16.5">
      <c r="B25" s="94"/>
      <c r="C25" s="94"/>
      <c r="D25" s="94"/>
      <c r="E25" s="181"/>
      <c r="F25" s="95"/>
      <c r="G25" s="95"/>
      <c r="H25" s="95"/>
      <c r="I25" s="96"/>
      <c r="J25" s="201"/>
      <c r="K25" s="201"/>
      <c r="L25" s="201"/>
      <c r="M25" s="201"/>
      <c r="N25" s="197"/>
      <c r="O25" s="197"/>
      <c r="P25" s="197"/>
      <c r="Q25" s="197"/>
    </row>
    <row r="26" spans="1:159" s="90" customFormat="1" ht="16.5">
      <c r="B26" s="94"/>
      <c r="C26" s="94"/>
      <c r="D26" s="94"/>
      <c r="E26" s="181"/>
      <c r="F26" s="95"/>
      <c r="G26" s="95"/>
      <c r="H26" s="95"/>
      <c r="I26" s="96"/>
      <c r="J26" s="201"/>
      <c r="K26" s="201"/>
      <c r="L26" s="201"/>
      <c r="M26" s="201"/>
      <c r="N26" s="197"/>
      <c r="O26" s="197"/>
      <c r="P26" s="197"/>
      <c r="Q26" s="197"/>
    </row>
    <row r="27" spans="1:159" s="90" customFormat="1" ht="16.5">
      <c r="B27" s="94"/>
      <c r="C27" s="94"/>
      <c r="D27" s="94"/>
      <c r="E27" s="181"/>
      <c r="F27" s="95"/>
      <c r="G27" s="95"/>
      <c r="H27" s="95"/>
      <c r="I27" s="96"/>
      <c r="J27" s="201"/>
      <c r="K27" s="201"/>
      <c r="L27" s="201"/>
      <c r="M27" s="201"/>
      <c r="N27" s="197"/>
      <c r="O27" s="197"/>
      <c r="P27" s="197"/>
      <c r="Q27" s="197"/>
    </row>
    <row r="28" spans="1:159" s="90" customFormat="1" ht="16.5">
      <c r="B28" s="94"/>
      <c r="C28" s="94"/>
      <c r="D28" s="94"/>
      <c r="E28" s="181"/>
      <c r="F28" s="95"/>
      <c r="G28" s="95"/>
      <c r="H28" s="95"/>
      <c r="I28" s="96"/>
      <c r="J28" s="201"/>
      <c r="K28" s="201"/>
      <c r="L28" s="201"/>
      <c r="M28" s="201"/>
      <c r="N28" s="197"/>
      <c r="O28" s="197"/>
      <c r="P28" s="197"/>
      <c r="Q28" s="197"/>
    </row>
    <row r="29" spans="1:159" s="90" customFormat="1" ht="16.5">
      <c r="B29" s="94"/>
      <c r="C29" s="94"/>
      <c r="D29" s="94"/>
      <c r="E29" s="181"/>
      <c r="F29" s="95"/>
      <c r="G29" s="95"/>
      <c r="H29" s="95"/>
      <c r="I29" s="96"/>
      <c r="J29" s="201"/>
      <c r="K29" s="201"/>
      <c r="L29" s="201"/>
      <c r="M29" s="201"/>
      <c r="N29" s="197"/>
      <c r="O29" s="197"/>
      <c r="P29" s="197"/>
      <c r="Q29" s="197"/>
    </row>
    <row r="30" spans="1:159" s="90" customFormat="1" ht="16.5">
      <c r="B30" s="94"/>
      <c r="C30" s="94"/>
      <c r="D30" s="94"/>
      <c r="E30" s="181"/>
      <c r="F30" s="95"/>
      <c r="G30" s="95"/>
      <c r="H30" s="95"/>
      <c r="I30" s="96"/>
      <c r="J30" s="201"/>
      <c r="K30" s="201"/>
      <c r="L30" s="201"/>
      <c r="M30" s="201"/>
      <c r="N30" s="197"/>
      <c r="O30" s="197"/>
      <c r="P30" s="197"/>
      <c r="Q30" s="197"/>
    </row>
    <row r="31" spans="1:159" s="90" customFormat="1" ht="16.5">
      <c r="B31" s="94"/>
      <c r="C31" s="94"/>
      <c r="D31" s="94"/>
      <c r="E31" s="181"/>
      <c r="F31" s="95"/>
      <c r="G31" s="95"/>
      <c r="H31" s="95"/>
      <c r="I31" s="96"/>
      <c r="J31" s="201"/>
      <c r="K31" s="201"/>
      <c r="L31" s="201"/>
      <c r="M31" s="201"/>
      <c r="N31" s="197"/>
      <c r="O31" s="197"/>
      <c r="P31" s="197"/>
      <c r="Q31" s="197"/>
    </row>
    <row r="32" spans="1:159" s="90" customFormat="1" ht="16.5">
      <c r="B32" s="94"/>
      <c r="C32" s="94"/>
      <c r="D32" s="94"/>
      <c r="E32" s="181"/>
      <c r="F32" s="95"/>
      <c r="G32" s="95"/>
      <c r="H32" s="95"/>
      <c r="I32" s="96"/>
      <c r="J32" s="201"/>
      <c r="K32" s="201"/>
      <c r="L32" s="201"/>
      <c r="M32" s="201"/>
      <c r="N32" s="197"/>
      <c r="O32" s="197"/>
      <c r="P32" s="197"/>
      <c r="Q32" s="197"/>
    </row>
    <row r="33" spans="2:20" s="90" customFormat="1" ht="16.5">
      <c r="B33" s="94"/>
      <c r="C33" s="94"/>
      <c r="D33" s="94"/>
      <c r="E33" s="181"/>
      <c r="F33" s="95"/>
      <c r="G33" s="95"/>
      <c r="H33" s="95"/>
      <c r="I33" s="96"/>
      <c r="J33" s="201"/>
      <c r="K33" s="201"/>
      <c r="L33" s="201"/>
      <c r="M33" s="201"/>
      <c r="N33" s="197"/>
      <c r="O33" s="197"/>
      <c r="P33" s="197"/>
      <c r="Q33" s="197"/>
      <c r="S33" s="174"/>
      <c r="T33" s="175"/>
    </row>
    <row r="34" spans="2:20" s="90" customFormat="1" ht="16.5">
      <c r="B34" s="94"/>
      <c r="C34" s="94"/>
      <c r="D34" s="94"/>
      <c r="E34" s="181"/>
      <c r="F34" s="95"/>
      <c r="G34" s="95"/>
      <c r="H34" s="95"/>
      <c r="I34" s="96"/>
      <c r="J34" s="201"/>
      <c r="K34" s="201"/>
      <c r="L34" s="201"/>
      <c r="M34" s="201"/>
      <c r="N34" s="197"/>
      <c r="O34" s="197"/>
      <c r="P34" s="197"/>
      <c r="Q34" s="197"/>
    </row>
    <row r="35" spans="2:20" s="90" customFormat="1" ht="16.5">
      <c r="B35" s="94"/>
      <c r="C35" s="94"/>
      <c r="D35" s="94"/>
      <c r="E35" s="181"/>
      <c r="F35" s="95"/>
      <c r="G35" s="95"/>
      <c r="H35" s="95"/>
      <c r="I35" s="96"/>
      <c r="J35" s="201"/>
      <c r="K35" s="201"/>
      <c r="L35" s="201"/>
      <c r="M35" s="201"/>
      <c r="N35" s="197"/>
      <c r="O35" s="197"/>
      <c r="P35" s="197"/>
      <c r="Q35" s="197"/>
    </row>
    <row r="36" spans="2:20" s="90" customFormat="1" ht="16.5">
      <c r="B36" s="94"/>
      <c r="C36" s="94"/>
      <c r="D36" s="94"/>
      <c r="E36" s="181"/>
      <c r="F36" s="95"/>
      <c r="G36" s="95"/>
      <c r="H36" s="95"/>
      <c r="I36" s="96"/>
      <c r="J36" s="201"/>
      <c r="K36" s="201"/>
      <c r="L36" s="201"/>
      <c r="M36" s="201"/>
      <c r="N36" s="197"/>
      <c r="O36" s="197"/>
      <c r="P36" s="197"/>
      <c r="Q36" s="197"/>
    </row>
    <row r="37" spans="2:20" s="90" customFormat="1" ht="16.5">
      <c r="B37" s="94"/>
      <c r="C37" s="94"/>
      <c r="D37" s="94"/>
      <c r="E37" s="181"/>
      <c r="F37" s="95"/>
      <c r="G37" s="95"/>
      <c r="H37" s="95"/>
      <c r="I37" s="96"/>
      <c r="J37" s="201"/>
      <c r="K37" s="201"/>
      <c r="L37" s="201"/>
      <c r="M37" s="201"/>
      <c r="N37" s="197"/>
      <c r="O37" s="197"/>
      <c r="P37" s="197"/>
      <c r="Q37" s="197"/>
    </row>
    <row r="38" spans="2:20" s="90" customFormat="1" ht="16.5">
      <c r="B38" s="94"/>
      <c r="C38" s="94"/>
      <c r="D38" s="94"/>
      <c r="E38" s="181"/>
      <c r="F38" s="95"/>
      <c r="G38" s="95"/>
      <c r="H38" s="95"/>
      <c r="I38" s="96"/>
      <c r="J38" s="201"/>
      <c r="K38" s="201"/>
      <c r="L38" s="201"/>
      <c r="M38" s="201"/>
      <c r="N38" s="197"/>
      <c r="O38" s="197"/>
      <c r="P38" s="197"/>
      <c r="Q38" s="197"/>
    </row>
    <row r="39" spans="2:20" s="90" customFormat="1" ht="16.5">
      <c r="B39" s="94"/>
      <c r="C39" s="94"/>
      <c r="D39" s="94"/>
      <c r="E39" s="181"/>
      <c r="F39" s="95"/>
      <c r="G39" s="95"/>
      <c r="H39" s="95"/>
      <c r="I39" s="96"/>
      <c r="J39" s="201"/>
      <c r="K39" s="201"/>
      <c r="L39" s="201"/>
      <c r="M39" s="201"/>
      <c r="N39" s="197"/>
      <c r="O39" s="197"/>
      <c r="P39" s="197"/>
      <c r="Q39" s="197"/>
    </row>
    <row r="40" spans="2:20" s="90" customFormat="1" ht="16.5">
      <c r="B40" s="94"/>
      <c r="C40" s="94"/>
      <c r="D40" s="94"/>
      <c r="E40" s="181"/>
      <c r="F40" s="95"/>
      <c r="G40" s="95"/>
      <c r="H40" s="95"/>
      <c r="I40" s="96"/>
      <c r="J40" s="201"/>
      <c r="K40" s="201"/>
      <c r="L40" s="201"/>
      <c r="M40" s="201"/>
      <c r="N40" s="197"/>
      <c r="O40" s="197"/>
      <c r="P40" s="197"/>
      <c r="Q40" s="197"/>
    </row>
    <row r="41" spans="2:20" s="90" customFormat="1" ht="16.5">
      <c r="B41" s="94"/>
      <c r="C41" s="94"/>
      <c r="D41" s="94"/>
      <c r="E41" s="181"/>
      <c r="F41" s="95"/>
      <c r="G41" s="95"/>
      <c r="H41" s="95"/>
      <c r="I41" s="96"/>
      <c r="J41" s="201"/>
      <c r="K41" s="201"/>
      <c r="L41" s="201"/>
      <c r="M41" s="201"/>
      <c r="N41" s="197"/>
      <c r="O41" s="197"/>
      <c r="P41" s="197"/>
      <c r="Q41" s="197"/>
    </row>
    <row r="42" spans="2:20" s="90" customFormat="1" ht="16.5">
      <c r="B42" s="94"/>
      <c r="C42" s="94"/>
      <c r="D42" s="94"/>
      <c r="E42" s="181"/>
      <c r="F42" s="95"/>
      <c r="G42" s="95"/>
      <c r="H42" s="95"/>
      <c r="I42" s="96"/>
      <c r="J42" s="201"/>
      <c r="K42" s="201"/>
      <c r="L42" s="201"/>
      <c r="M42" s="201"/>
      <c r="N42" s="197"/>
      <c r="O42" s="197"/>
      <c r="P42" s="197"/>
      <c r="Q42" s="197"/>
    </row>
    <row r="43" spans="2:20" s="90" customFormat="1" ht="16.5">
      <c r="B43" s="94"/>
      <c r="C43" s="94"/>
      <c r="D43" s="94"/>
      <c r="E43" s="181"/>
      <c r="F43" s="95"/>
      <c r="G43" s="95"/>
      <c r="H43" s="95"/>
      <c r="I43" s="96"/>
      <c r="J43" s="201"/>
      <c r="K43" s="201"/>
      <c r="L43" s="201"/>
      <c r="M43" s="201"/>
      <c r="N43" s="197"/>
      <c r="O43" s="197"/>
      <c r="P43" s="197"/>
      <c r="Q43" s="197"/>
    </row>
    <row r="44" spans="2:20" s="90" customFormat="1" ht="16.5">
      <c r="B44" s="94"/>
      <c r="C44" s="94"/>
      <c r="D44" s="94"/>
      <c r="E44" s="181"/>
      <c r="F44" s="95"/>
      <c r="G44" s="95"/>
      <c r="H44" s="95"/>
      <c r="I44" s="96"/>
      <c r="J44" s="201"/>
      <c r="K44" s="201"/>
      <c r="L44" s="201"/>
      <c r="M44" s="201"/>
      <c r="N44" s="197"/>
      <c r="O44" s="197"/>
      <c r="P44" s="197"/>
      <c r="Q44" s="197"/>
    </row>
    <row r="45" spans="2:20" s="90" customFormat="1" ht="16.5">
      <c r="B45" s="94"/>
      <c r="C45" s="94"/>
      <c r="D45" s="94"/>
      <c r="E45" s="181"/>
      <c r="F45" s="95"/>
      <c r="G45" s="95"/>
      <c r="H45" s="95"/>
      <c r="I45" s="96"/>
      <c r="J45" s="201"/>
      <c r="K45" s="201"/>
      <c r="L45" s="201"/>
      <c r="M45" s="201"/>
      <c r="N45" s="197"/>
      <c r="O45" s="197"/>
      <c r="P45" s="197"/>
      <c r="Q45" s="197"/>
    </row>
    <row r="46" spans="2:20" s="90" customFormat="1" ht="16.5">
      <c r="B46" s="94"/>
      <c r="C46" s="94"/>
      <c r="D46" s="94"/>
      <c r="E46" s="181"/>
      <c r="F46" s="95"/>
      <c r="G46" s="95"/>
      <c r="H46" s="95"/>
      <c r="I46" s="96"/>
      <c r="J46" s="201"/>
      <c r="K46" s="201"/>
      <c r="L46" s="201"/>
      <c r="M46" s="201"/>
      <c r="N46" s="197"/>
      <c r="O46" s="197"/>
      <c r="P46" s="197"/>
      <c r="Q46" s="197"/>
    </row>
    <row r="47" spans="2:20" s="90" customFormat="1" ht="16.5">
      <c r="B47" s="94"/>
      <c r="C47" s="94"/>
      <c r="D47" s="94"/>
      <c r="E47" s="181"/>
      <c r="F47" s="95"/>
      <c r="G47" s="95"/>
      <c r="H47" s="95"/>
      <c r="I47" s="96"/>
      <c r="J47" s="201"/>
      <c r="K47" s="201"/>
      <c r="L47" s="201"/>
      <c r="M47" s="201"/>
      <c r="N47" s="197"/>
      <c r="O47" s="197"/>
      <c r="P47" s="197"/>
      <c r="Q47" s="197"/>
    </row>
    <row r="48" spans="2:20" s="90" customFormat="1" ht="16.5">
      <c r="B48" s="94"/>
      <c r="C48" s="94"/>
      <c r="D48" s="94"/>
      <c r="E48" s="181"/>
      <c r="F48" s="95"/>
      <c r="G48" s="95"/>
      <c r="H48" s="95"/>
      <c r="I48" s="96"/>
      <c r="J48" s="201"/>
      <c r="K48" s="201"/>
      <c r="L48" s="201"/>
      <c r="M48" s="201"/>
      <c r="N48" s="197"/>
      <c r="O48" s="197"/>
      <c r="P48" s="197"/>
      <c r="Q48" s="197"/>
    </row>
    <row r="49" spans="2:17" s="90" customFormat="1" ht="16.5">
      <c r="B49" s="94"/>
      <c r="C49" s="94"/>
      <c r="D49" s="94"/>
      <c r="E49" s="181"/>
      <c r="F49" s="95"/>
      <c r="G49" s="95"/>
      <c r="H49" s="95"/>
      <c r="I49" s="96"/>
      <c r="J49" s="201"/>
      <c r="K49" s="201"/>
      <c r="L49" s="201"/>
      <c r="M49" s="201"/>
      <c r="N49" s="197"/>
      <c r="O49" s="197"/>
      <c r="P49" s="197"/>
      <c r="Q49" s="197"/>
    </row>
    <row r="50" spans="2:17" s="90" customFormat="1" ht="16.5">
      <c r="B50" s="94"/>
      <c r="C50" s="94"/>
      <c r="D50" s="94"/>
      <c r="E50" s="181"/>
      <c r="F50" s="95"/>
      <c r="G50" s="95"/>
      <c r="H50" s="95"/>
      <c r="I50" s="96"/>
      <c r="J50" s="201"/>
      <c r="K50" s="201"/>
      <c r="L50" s="201"/>
      <c r="M50" s="201"/>
      <c r="N50" s="197"/>
      <c r="O50" s="197"/>
      <c r="P50" s="197"/>
      <c r="Q50" s="197"/>
    </row>
    <row r="51" spans="2:17" s="90" customFormat="1" ht="16.5">
      <c r="B51" s="94"/>
      <c r="C51" s="94"/>
      <c r="D51" s="94"/>
      <c r="E51" s="181"/>
      <c r="F51" s="95"/>
      <c r="G51" s="95"/>
      <c r="H51" s="95"/>
      <c r="I51" s="96"/>
      <c r="J51" s="201"/>
      <c r="K51" s="201"/>
      <c r="L51" s="201"/>
      <c r="M51" s="201"/>
      <c r="N51" s="197"/>
      <c r="O51" s="197"/>
      <c r="P51" s="197"/>
      <c r="Q51" s="197"/>
    </row>
    <row r="52" spans="2:17" s="90" customFormat="1" ht="16.5">
      <c r="B52" s="94"/>
      <c r="C52" s="94"/>
      <c r="D52" s="94"/>
      <c r="E52" s="181"/>
      <c r="F52" s="95"/>
      <c r="G52" s="95"/>
      <c r="H52" s="95"/>
      <c r="I52" s="96"/>
      <c r="J52" s="201"/>
      <c r="K52" s="201"/>
      <c r="L52" s="201"/>
      <c r="M52" s="201"/>
      <c r="N52" s="197"/>
      <c r="O52" s="197"/>
      <c r="P52" s="197"/>
      <c r="Q52" s="197"/>
    </row>
    <row r="53" spans="2:17" s="90" customFormat="1" ht="16.5">
      <c r="B53" s="94"/>
      <c r="C53" s="94"/>
      <c r="D53" s="94"/>
      <c r="E53" s="181"/>
      <c r="F53" s="95"/>
      <c r="G53" s="95"/>
      <c r="H53" s="95"/>
      <c r="I53" s="96"/>
      <c r="J53" s="201"/>
      <c r="K53" s="201"/>
      <c r="L53" s="201"/>
      <c r="M53" s="201"/>
      <c r="N53" s="197"/>
      <c r="O53" s="197"/>
      <c r="P53" s="197"/>
      <c r="Q53" s="197"/>
    </row>
    <row r="54" spans="2:17" s="90" customFormat="1" ht="16.5">
      <c r="B54" s="94"/>
      <c r="C54" s="94"/>
      <c r="D54" s="94"/>
      <c r="E54" s="181"/>
      <c r="F54" s="95"/>
      <c r="G54" s="95"/>
      <c r="H54" s="95"/>
      <c r="I54" s="96"/>
      <c r="J54" s="201"/>
      <c r="K54" s="201"/>
      <c r="L54" s="201"/>
      <c r="M54" s="201"/>
      <c r="N54" s="197"/>
      <c r="O54" s="197"/>
      <c r="P54" s="197"/>
      <c r="Q54" s="197"/>
    </row>
    <row r="55" spans="2:17" s="90" customFormat="1" ht="16.5">
      <c r="B55" s="94"/>
      <c r="C55" s="94"/>
      <c r="D55" s="94"/>
      <c r="E55" s="181"/>
      <c r="F55" s="95"/>
      <c r="G55" s="95"/>
      <c r="H55" s="95"/>
      <c r="I55" s="96"/>
      <c r="J55" s="201"/>
      <c r="K55" s="201"/>
      <c r="L55" s="201"/>
      <c r="M55" s="201"/>
      <c r="N55" s="197"/>
      <c r="O55" s="197"/>
      <c r="P55" s="197"/>
      <c r="Q55" s="197"/>
    </row>
    <row r="56" spans="2:17" s="90" customFormat="1" ht="16.5">
      <c r="B56" s="94"/>
      <c r="C56" s="94"/>
      <c r="D56" s="94"/>
      <c r="E56" s="181"/>
      <c r="F56" s="95"/>
      <c r="G56" s="95"/>
      <c r="H56" s="95"/>
      <c r="I56" s="96"/>
      <c r="J56" s="201"/>
      <c r="K56" s="201"/>
      <c r="L56" s="201"/>
      <c r="M56" s="201"/>
      <c r="N56" s="197"/>
      <c r="O56" s="197"/>
      <c r="P56" s="197"/>
      <c r="Q56" s="197"/>
    </row>
    <row r="57" spans="2:17" s="90" customFormat="1" ht="16.5">
      <c r="B57" s="94"/>
      <c r="C57" s="94"/>
      <c r="D57" s="94"/>
      <c r="E57" s="181"/>
      <c r="F57" s="95"/>
      <c r="G57" s="95"/>
      <c r="H57" s="95"/>
      <c r="I57" s="96"/>
      <c r="J57" s="201"/>
      <c r="K57" s="201"/>
      <c r="L57" s="201"/>
      <c r="M57" s="201"/>
      <c r="N57" s="197"/>
      <c r="O57" s="197"/>
      <c r="P57" s="197"/>
      <c r="Q57" s="197"/>
    </row>
    <row r="58" spans="2:17" s="90" customFormat="1" ht="21.75" customHeight="1">
      <c r="B58" s="94"/>
      <c r="C58" s="94"/>
      <c r="D58" s="94"/>
      <c r="E58" s="181"/>
      <c r="F58" s="95"/>
      <c r="G58" s="95"/>
      <c r="H58" s="95"/>
      <c r="I58" s="96"/>
      <c r="J58" s="201"/>
      <c r="K58" s="201"/>
      <c r="L58" s="201"/>
      <c r="M58" s="201"/>
      <c r="N58" s="197"/>
      <c r="O58" s="197"/>
      <c r="P58" s="197"/>
      <c r="Q58" s="197"/>
    </row>
    <row r="59" spans="2:17" s="90" customFormat="1" ht="21.75" customHeight="1">
      <c r="B59" s="94"/>
      <c r="C59" s="94"/>
      <c r="D59" s="94"/>
      <c r="E59" s="181"/>
      <c r="F59" s="95"/>
      <c r="G59" s="95"/>
      <c r="H59" s="95"/>
      <c r="I59" s="96"/>
      <c r="J59" s="201"/>
      <c r="K59" s="201"/>
      <c r="L59" s="201"/>
      <c r="M59" s="201"/>
      <c r="N59" s="197"/>
      <c r="O59" s="197"/>
      <c r="P59" s="197"/>
      <c r="Q59" s="197"/>
    </row>
    <row r="60" spans="2:17" s="90" customFormat="1" ht="21.75" customHeight="1">
      <c r="B60" s="94"/>
      <c r="C60" s="94"/>
      <c r="D60" s="94"/>
      <c r="E60" s="181"/>
      <c r="F60" s="95"/>
      <c r="G60" s="95"/>
      <c r="H60" s="95"/>
      <c r="I60" s="96"/>
      <c r="J60" s="201"/>
      <c r="K60" s="201"/>
      <c r="L60" s="201"/>
      <c r="M60" s="201"/>
      <c r="N60" s="197"/>
      <c r="O60" s="197"/>
      <c r="P60" s="197"/>
      <c r="Q60" s="197"/>
    </row>
    <row r="61" spans="2:17" s="90" customFormat="1" ht="21.75" customHeight="1">
      <c r="B61" s="94"/>
      <c r="C61" s="94"/>
      <c r="D61" s="94"/>
      <c r="E61" s="181"/>
      <c r="F61" s="95"/>
      <c r="G61" s="95"/>
      <c r="H61" s="95"/>
      <c r="I61" s="96"/>
      <c r="J61" s="201"/>
      <c r="K61" s="201"/>
      <c r="L61" s="201"/>
      <c r="M61" s="201"/>
      <c r="N61" s="197"/>
      <c r="O61" s="197"/>
      <c r="P61" s="197"/>
      <c r="Q61" s="197"/>
    </row>
    <row r="62" spans="2:17" s="90" customFormat="1" ht="21.75" customHeight="1">
      <c r="B62" s="94"/>
      <c r="C62" s="94"/>
      <c r="D62" s="94"/>
      <c r="E62" s="181"/>
      <c r="F62" s="95"/>
      <c r="G62" s="95"/>
      <c r="H62" s="95"/>
      <c r="I62" s="96"/>
      <c r="J62" s="201"/>
      <c r="K62" s="201"/>
      <c r="L62" s="201"/>
      <c r="M62" s="201"/>
      <c r="N62" s="197"/>
      <c r="O62" s="197"/>
      <c r="P62" s="197"/>
      <c r="Q62" s="197"/>
    </row>
    <row r="63" spans="2:17" s="90" customFormat="1" ht="21.75" customHeight="1">
      <c r="B63" s="94"/>
      <c r="C63" s="94"/>
      <c r="D63" s="94"/>
      <c r="E63" s="181"/>
      <c r="F63" s="95"/>
      <c r="G63" s="95"/>
      <c r="H63" s="95"/>
      <c r="I63" s="96"/>
      <c r="J63" s="201"/>
      <c r="K63" s="201"/>
      <c r="L63" s="201"/>
      <c r="M63" s="201"/>
      <c r="N63" s="197"/>
      <c r="O63" s="197"/>
      <c r="P63" s="197"/>
      <c r="Q63" s="197"/>
    </row>
    <row r="64" spans="2:17" s="90" customFormat="1" ht="21.75" customHeight="1">
      <c r="B64" s="94"/>
      <c r="C64" s="94"/>
      <c r="D64" s="94"/>
      <c r="E64" s="181"/>
      <c r="F64" s="95"/>
      <c r="G64" s="95"/>
      <c r="H64" s="95"/>
      <c r="I64" s="96"/>
      <c r="J64" s="201"/>
      <c r="K64" s="201"/>
      <c r="L64" s="201"/>
      <c r="M64" s="201"/>
      <c r="N64" s="197"/>
      <c r="O64" s="197"/>
      <c r="P64" s="197"/>
      <c r="Q64" s="197"/>
    </row>
    <row r="65" spans="2:17" s="90" customFormat="1" ht="21.75" customHeight="1">
      <c r="B65" s="94"/>
      <c r="C65" s="94"/>
      <c r="D65" s="94"/>
      <c r="E65" s="181"/>
      <c r="F65" s="95"/>
      <c r="G65" s="95"/>
      <c r="H65" s="95"/>
      <c r="I65" s="96"/>
      <c r="J65" s="201"/>
      <c r="K65" s="201"/>
      <c r="L65" s="201"/>
      <c r="M65" s="201"/>
      <c r="N65" s="197"/>
      <c r="O65" s="197"/>
      <c r="P65" s="197"/>
      <c r="Q65" s="197"/>
    </row>
    <row r="66" spans="2:17" s="90" customFormat="1" ht="21.75" customHeight="1">
      <c r="B66" s="94"/>
      <c r="C66" s="94"/>
      <c r="D66" s="94"/>
      <c r="E66" s="181"/>
      <c r="F66" s="95"/>
      <c r="G66" s="95"/>
      <c r="H66" s="95"/>
      <c r="I66" s="96"/>
      <c r="J66" s="201"/>
      <c r="K66" s="201"/>
      <c r="L66" s="201"/>
      <c r="M66" s="201"/>
      <c r="N66" s="197"/>
      <c r="O66" s="197"/>
      <c r="P66" s="197"/>
      <c r="Q66" s="197"/>
    </row>
    <row r="67" spans="2:17" s="90" customFormat="1" ht="21.75" customHeight="1">
      <c r="B67" s="94"/>
      <c r="C67" s="94"/>
      <c r="D67" s="94"/>
      <c r="E67" s="181"/>
      <c r="F67" s="95"/>
      <c r="G67" s="95"/>
      <c r="H67" s="95"/>
      <c r="I67" s="96"/>
      <c r="J67" s="201"/>
      <c r="K67" s="201"/>
      <c r="L67" s="201"/>
      <c r="M67" s="201"/>
      <c r="N67" s="197"/>
      <c r="O67" s="197"/>
      <c r="P67" s="197"/>
      <c r="Q67" s="197"/>
    </row>
    <row r="68" spans="2:17" s="90" customFormat="1" ht="21.75" customHeight="1">
      <c r="B68" s="94"/>
      <c r="C68" s="94"/>
      <c r="D68" s="94"/>
      <c r="E68" s="181"/>
      <c r="F68" s="95"/>
      <c r="G68" s="95"/>
      <c r="H68" s="95"/>
      <c r="I68" s="96"/>
      <c r="J68" s="201"/>
      <c r="K68" s="201"/>
      <c r="L68" s="201"/>
      <c r="M68" s="201"/>
      <c r="N68" s="197"/>
      <c r="O68" s="197"/>
      <c r="P68" s="197"/>
      <c r="Q68" s="197"/>
    </row>
    <row r="69" spans="2:17" s="90" customFormat="1" ht="21.75" customHeight="1">
      <c r="B69" s="94"/>
      <c r="C69" s="94"/>
      <c r="D69" s="94"/>
      <c r="E69" s="181"/>
      <c r="F69" s="95"/>
      <c r="G69" s="95"/>
      <c r="H69" s="95"/>
      <c r="I69" s="96"/>
      <c r="J69" s="201"/>
      <c r="K69" s="201"/>
      <c r="L69" s="201"/>
      <c r="M69" s="201"/>
      <c r="N69" s="197"/>
      <c r="O69" s="197"/>
      <c r="P69" s="197"/>
      <c r="Q69" s="197"/>
    </row>
    <row r="70" spans="2:17" s="90" customFormat="1" ht="21.75" customHeight="1">
      <c r="B70" s="94"/>
      <c r="C70" s="94"/>
      <c r="D70" s="94"/>
      <c r="E70" s="181"/>
      <c r="F70" s="95"/>
      <c r="G70" s="95"/>
      <c r="H70" s="95"/>
      <c r="I70" s="96"/>
      <c r="J70" s="201"/>
      <c r="K70" s="201"/>
      <c r="L70" s="201"/>
      <c r="M70" s="201"/>
      <c r="N70" s="197"/>
      <c r="O70" s="197"/>
      <c r="P70" s="197"/>
      <c r="Q70" s="197"/>
    </row>
    <row r="71" spans="2:17" s="90" customFormat="1" ht="21.75" customHeight="1">
      <c r="B71" s="94"/>
      <c r="C71" s="94"/>
      <c r="D71" s="94"/>
      <c r="E71" s="181"/>
      <c r="F71" s="95"/>
      <c r="G71" s="95"/>
      <c r="H71" s="95"/>
      <c r="I71" s="96"/>
      <c r="J71" s="201"/>
      <c r="K71" s="201"/>
      <c r="L71" s="201"/>
      <c r="M71" s="201"/>
      <c r="N71" s="197"/>
      <c r="O71" s="197"/>
      <c r="P71" s="197"/>
      <c r="Q71" s="197"/>
    </row>
    <row r="72" spans="2:17" s="90" customFormat="1" ht="21.75" customHeight="1">
      <c r="B72" s="94"/>
      <c r="C72" s="94"/>
      <c r="D72" s="94"/>
      <c r="E72" s="181"/>
      <c r="F72" s="95"/>
      <c r="G72" s="95"/>
      <c r="H72" s="95"/>
      <c r="I72" s="96"/>
      <c r="J72" s="201"/>
      <c r="K72" s="201"/>
      <c r="L72" s="201"/>
      <c r="M72" s="201"/>
      <c r="N72" s="197"/>
      <c r="O72" s="197"/>
      <c r="P72" s="197"/>
      <c r="Q72" s="197"/>
    </row>
    <row r="73" spans="2:17" s="90" customFormat="1" ht="21.75" customHeight="1">
      <c r="B73" s="94"/>
      <c r="C73" s="94"/>
      <c r="D73" s="94"/>
      <c r="E73" s="181"/>
      <c r="F73" s="95"/>
      <c r="G73" s="95"/>
      <c r="H73" s="95"/>
      <c r="I73" s="96"/>
      <c r="J73" s="201"/>
      <c r="K73" s="201"/>
      <c r="L73" s="201"/>
      <c r="M73" s="201"/>
      <c r="N73" s="197"/>
      <c r="O73" s="197"/>
      <c r="P73" s="197"/>
      <c r="Q73" s="197"/>
    </row>
    <row r="74" spans="2:17" s="90" customFormat="1" ht="21.75" customHeight="1">
      <c r="B74" s="94"/>
      <c r="C74" s="94"/>
      <c r="D74" s="94"/>
      <c r="E74" s="181"/>
      <c r="F74" s="95"/>
      <c r="G74" s="95"/>
      <c r="H74" s="95"/>
      <c r="I74" s="96"/>
      <c r="J74" s="201"/>
      <c r="K74" s="201"/>
      <c r="L74" s="201"/>
      <c r="M74" s="201"/>
      <c r="N74" s="197"/>
      <c r="O74" s="197"/>
      <c r="P74" s="197"/>
      <c r="Q74" s="197"/>
    </row>
    <row r="75" spans="2:17" s="90" customFormat="1" ht="21.75" customHeight="1">
      <c r="B75" s="94"/>
      <c r="C75" s="94"/>
      <c r="D75" s="94"/>
      <c r="E75" s="181"/>
      <c r="F75" s="95"/>
      <c r="G75" s="95"/>
      <c r="H75" s="95"/>
      <c r="I75" s="96"/>
      <c r="J75" s="201"/>
      <c r="K75" s="201"/>
      <c r="L75" s="201"/>
      <c r="M75" s="201"/>
      <c r="N75" s="197"/>
      <c r="O75" s="197"/>
      <c r="P75" s="197"/>
      <c r="Q75" s="197"/>
    </row>
    <row r="76" spans="2:17" s="90" customFormat="1" ht="21.75" customHeight="1">
      <c r="B76" s="94"/>
      <c r="C76" s="94"/>
      <c r="D76" s="94"/>
      <c r="E76" s="181"/>
      <c r="F76" s="95"/>
      <c r="G76" s="95"/>
      <c r="H76" s="95"/>
      <c r="I76" s="96"/>
      <c r="J76" s="201"/>
      <c r="K76" s="201"/>
      <c r="L76" s="201"/>
      <c r="M76" s="201"/>
      <c r="N76" s="197"/>
      <c r="O76" s="197"/>
      <c r="P76" s="197"/>
      <c r="Q76" s="197"/>
    </row>
    <row r="77" spans="2:17" s="90" customFormat="1" ht="21.75" customHeight="1">
      <c r="B77" s="94"/>
      <c r="C77" s="94"/>
      <c r="D77" s="94"/>
      <c r="E77" s="181"/>
      <c r="F77" s="95"/>
      <c r="G77" s="95"/>
      <c r="H77" s="95"/>
      <c r="I77" s="96"/>
      <c r="J77" s="201"/>
      <c r="K77" s="201"/>
      <c r="L77" s="201"/>
      <c r="M77" s="201"/>
      <c r="N77" s="197"/>
      <c r="O77" s="197"/>
      <c r="P77" s="197"/>
      <c r="Q77" s="197"/>
    </row>
    <row r="78" spans="2:17" s="90" customFormat="1" ht="21.75" customHeight="1">
      <c r="B78" s="94"/>
      <c r="C78" s="94"/>
      <c r="D78" s="94"/>
      <c r="E78" s="181"/>
      <c r="F78" s="95"/>
      <c r="G78" s="95"/>
      <c r="H78" s="95"/>
      <c r="I78" s="96"/>
      <c r="J78" s="201"/>
      <c r="K78" s="201"/>
      <c r="L78" s="201"/>
      <c r="M78" s="201"/>
      <c r="N78" s="197"/>
      <c r="O78" s="197"/>
      <c r="P78" s="197"/>
      <c r="Q78" s="197"/>
    </row>
    <row r="79" spans="2:17" s="90" customFormat="1" ht="21.75" customHeight="1">
      <c r="B79" s="94"/>
      <c r="C79" s="94"/>
      <c r="D79" s="94"/>
      <c r="E79" s="181"/>
      <c r="F79" s="95"/>
      <c r="G79" s="95"/>
      <c r="H79" s="95"/>
      <c r="I79" s="96"/>
      <c r="J79" s="201"/>
      <c r="K79" s="201"/>
      <c r="L79" s="201"/>
      <c r="M79" s="201"/>
      <c r="N79" s="197"/>
      <c r="O79" s="197"/>
      <c r="P79" s="197"/>
      <c r="Q79" s="197"/>
    </row>
    <row r="80" spans="2:17" s="90" customFormat="1" ht="21.75" customHeight="1">
      <c r="B80" s="94"/>
      <c r="C80" s="94"/>
      <c r="D80" s="94"/>
      <c r="E80" s="181"/>
      <c r="F80" s="95"/>
      <c r="G80" s="95"/>
      <c r="H80" s="95"/>
      <c r="I80" s="96"/>
      <c r="J80" s="201"/>
      <c r="K80" s="201"/>
      <c r="L80" s="201"/>
      <c r="M80" s="201"/>
      <c r="N80" s="197"/>
      <c r="O80" s="197"/>
      <c r="P80" s="197"/>
      <c r="Q80" s="197"/>
    </row>
    <row r="81" spans="2:17" s="90" customFormat="1" ht="21.75" customHeight="1">
      <c r="B81" s="94"/>
      <c r="C81" s="94"/>
      <c r="D81" s="94"/>
      <c r="E81" s="181"/>
      <c r="F81" s="95"/>
      <c r="G81" s="95"/>
      <c r="H81" s="95"/>
      <c r="I81" s="96"/>
      <c r="J81" s="201"/>
      <c r="K81" s="201"/>
      <c r="L81" s="201"/>
      <c r="M81" s="201"/>
      <c r="N81" s="197"/>
      <c r="O81" s="197"/>
      <c r="P81" s="197"/>
      <c r="Q81" s="197"/>
    </row>
    <row r="82" spans="2:17" s="90" customFormat="1" ht="21.75" customHeight="1">
      <c r="B82" s="94"/>
      <c r="C82" s="94"/>
      <c r="D82" s="94"/>
      <c r="E82" s="181"/>
      <c r="F82" s="95"/>
      <c r="G82" s="95"/>
      <c r="H82" s="95"/>
      <c r="I82" s="96"/>
      <c r="J82" s="201"/>
      <c r="K82" s="201"/>
      <c r="L82" s="201"/>
      <c r="M82" s="201"/>
      <c r="N82" s="197"/>
      <c r="O82" s="197"/>
      <c r="P82" s="197"/>
      <c r="Q82" s="197"/>
    </row>
    <row r="83" spans="2:17" s="90" customFormat="1" ht="21.75" customHeight="1">
      <c r="B83" s="94"/>
      <c r="C83" s="94"/>
      <c r="D83" s="94"/>
      <c r="E83" s="181"/>
      <c r="F83" s="95"/>
      <c r="G83" s="95"/>
      <c r="H83" s="95"/>
      <c r="I83" s="96"/>
      <c r="J83" s="201"/>
      <c r="K83" s="201"/>
      <c r="L83" s="201"/>
      <c r="M83" s="201"/>
      <c r="N83" s="197"/>
      <c r="O83" s="197"/>
      <c r="P83" s="197"/>
      <c r="Q83" s="197"/>
    </row>
    <row r="84" spans="2:17" s="90" customFormat="1" ht="21.75" customHeight="1">
      <c r="B84" s="94"/>
      <c r="C84" s="94"/>
      <c r="D84" s="94"/>
      <c r="E84" s="181"/>
      <c r="F84" s="95"/>
      <c r="G84" s="95"/>
      <c r="H84" s="95"/>
      <c r="I84" s="96"/>
      <c r="J84" s="201"/>
      <c r="K84" s="201"/>
      <c r="L84" s="201"/>
      <c r="M84" s="201"/>
      <c r="N84" s="197"/>
      <c r="O84" s="197"/>
      <c r="P84" s="197"/>
      <c r="Q84" s="197"/>
    </row>
    <row r="85" spans="2:17" s="90" customFormat="1" ht="21.75" customHeight="1">
      <c r="B85" s="94"/>
      <c r="C85" s="94"/>
      <c r="D85" s="94"/>
      <c r="E85" s="181"/>
      <c r="F85" s="95"/>
      <c r="G85" s="95"/>
      <c r="H85" s="95"/>
      <c r="I85" s="96"/>
      <c r="J85" s="201"/>
      <c r="K85" s="201"/>
      <c r="L85" s="201"/>
      <c r="M85" s="201"/>
      <c r="N85" s="197"/>
      <c r="O85" s="197"/>
      <c r="P85" s="197"/>
      <c r="Q85" s="197"/>
    </row>
    <row r="86" spans="2:17" s="90" customFormat="1" ht="21.75" customHeight="1">
      <c r="B86" s="94"/>
      <c r="C86" s="94"/>
      <c r="D86" s="94"/>
      <c r="E86" s="181"/>
      <c r="F86" s="95"/>
      <c r="G86" s="95"/>
      <c r="H86" s="95"/>
      <c r="I86" s="96"/>
      <c r="J86" s="201"/>
      <c r="K86" s="201"/>
      <c r="L86" s="201"/>
      <c r="M86" s="201"/>
      <c r="N86" s="197"/>
      <c r="O86" s="197"/>
      <c r="P86" s="197"/>
      <c r="Q86" s="197"/>
    </row>
    <row r="87" spans="2:17" s="90" customFormat="1" ht="21.75" customHeight="1">
      <c r="B87" s="94"/>
      <c r="C87" s="94"/>
      <c r="D87" s="94"/>
      <c r="E87" s="181"/>
      <c r="F87" s="95"/>
      <c r="G87" s="95"/>
      <c r="H87" s="95"/>
      <c r="I87" s="96"/>
      <c r="J87" s="201"/>
      <c r="K87" s="201"/>
      <c r="L87" s="201"/>
      <c r="M87" s="201"/>
      <c r="N87" s="197"/>
      <c r="O87" s="197"/>
      <c r="P87" s="197"/>
      <c r="Q87" s="197"/>
    </row>
    <row r="88" spans="2:17" s="90" customFormat="1" ht="21.75" customHeight="1">
      <c r="B88" s="94"/>
      <c r="C88" s="94"/>
      <c r="D88" s="94"/>
      <c r="E88" s="181"/>
      <c r="F88" s="95"/>
      <c r="G88" s="95"/>
      <c r="H88" s="95"/>
      <c r="I88" s="96"/>
      <c r="J88" s="201"/>
      <c r="K88" s="201"/>
      <c r="L88" s="201"/>
      <c r="M88" s="201"/>
      <c r="N88" s="197"/>
      <c r="O88" s="197"/>
      <c r="P88" s="197"/>
      <c r="Q88" s="197"/>
    </row>
    <row r="89" spans="2:17" s="90" customFormat="1" ht="21.75" customHeight="1">
      <c r="B89" s="94"/>
      <c r="C89" s="94"/>
      <c r="D89" s="94"/>
      <c r="E89" s="181"/>
      <c r="F89" s="95"/>
      <c r="G89" s="95"/>
      <c r="H89" s="95"/>
      <c r="I89" s="96"/>
      <c r="J89" s="201"/>
      <c r="K89" s="201"/>
      <c r="L89" s="201"/>
      <c r="M89" s="201"/>
      <c r="N89" s="197"/>
      <c r="O89" s="197"/>
      <c r="P89" s="197"/>
      <c r="Q89" s="197"/>
    </row>
    <row r="90" spans="2:17" s="90" customFormat="1" ht="21.75" customHeight="1">
      <c r="B90" s="94"/>
      <c r="C90" s="94"/>
      <c r="D90" s="94"/>
      <c r="E90" s="181"/>
      <c r="F90" s="95"/>
      <c r="G90" s="95"/>
      <c r="H90" s="95"/>
      <c r="I90" s="96"/>
      <c r="J90" s="201"/>
      <c r="K90" s="201"/>
      <c r="L90" s="201"/>
      <c r="M90" s="201"/>
      <c r="N90" s="197"/>
      <c r="O90" s="197"/>
      <c r="P90" s="197"/>
      <c r="Q90" s="197"/>
    </row>
    <row r="91" spans="2:17" s="90" customFormat="1" ht="21.75" customHeight="1">
      <c r="B91" s="94"/>
      <c r="C91" s="94"/>
      <c r="D91" s="94"/>
      <c r="E91" s="181"/>
      <c r="F91" s="95"/>
      <c r="G91" s="95"/>
      <c r="H91" s="95"/>
      <c r="I91" s="96"/>
      <c r="J91" s="201"/>
      <c r="K91" s="201"/>
      <c r="L91" s="201"/>
      <c r="M91" s="201"/>
      <c r="N91" s="197"/>
      <c r="O91" s="197"/>
      <c r="P91" s="197"/>
      <c r="Q91" s="197"/>
    </row>
    <row r="92" spans="2:17" s="90" customFormat="1" ht="21.75" customHeight="1">
      <c r="B92" s="94"/>
      <c r="C92" s="94"/>
      <c r="D92" s="94"/>
      <c r="E92" s="181"/>
      <c r="F92" s="95"/>
      <c r="G92" s="95"/>
      <c r="H92" s="95"/>
      <c r="I92" s="96"/>
      <c r="J92" s="201"/>
      <c r="K92" s="201"/>
      <c r="L92" s="201"/>
      <c r="M92" s="201"/>
      <c r="N92" s="197"/>
      <c r="O92" s="197"/>
      <c r="P92" s="197"/>
      <c r="Q92" s="197"/>
    </row>
    <row r="93" spans="2:17" s="90" customFormat="1" ht="21.75" customHeight="1">
      <c r="B93" s="94"/>
      <c r="C93" s="94"/>
      <c r="D93" s="94"/>
      <c r="E93" s="181"/>
      <c r="F93" s="95"/>
      <c r="G93" s="95"/>
      <c r="H93" s="95"/>
      <c r="I93" s="96"/>
      <c r="J93" s="201"/>
      <c r="K93" s="201"/>
      <c r="L93" s="201"/>
      <c r="M93" s="201"/>
      <c r="N93" s="197"/>
      <c r="O93" s="197"/>
      <c r="P93" s="197"/>
      <c r="Q93" s="197"/>
    </row>
    <row r="94" spans="2:17" s="90" customFormat="1" ht="21.75" customHeight="1">
      <c r="B94" s="94"/>
      <c r="C94" s="94"/>
      <c r="D94" s="94"/>
      <c r="E94" s="181"/>
      <c r="F94" s="95"/>
      <c r="G94" s="95"/>
      <c r="H94" s="95"/>
      <c r="I94" s="96"/>
      <c r="J94" s="201"/>
      <c r="K94" s="201"/>
      <c r="L94" s="201"/>
      <c r="M94" s="201"/>
      <c r="N94" s="197"/>
      <c r="O94" s="197"/>
      <c r="P94" s="197"/>
      <c r="Q94" s="197"/>
    </row>
    <row r="95" spans="2:17" s="90" customFormat="1" ht="21.75" customHeight="1">
      <c r="B95" s="94"/>
      <c r="C95" s="94"/>
      <c r="D95" s="94"/>
      <c r="E95" s="181"/>
      <c r="F95" s="95"/>
      <c r="G95" s="95"/>
      <c r="H95" s="95"/>
      <c r="I95" s="96"/>
      <c r="J95" s="201"/>
      <c r="K95" s="201"/>
      <c r="L95" s="201"/>
      <c r="M95" s="201"/>
      <c r="N95" s="197"/>
      <c r="O95" s="197"/>
      <c r="P95" s="197"/>
      <c r="Q95" s="197"/>
    </row>
    <row r="96" spans="2:17" s="90" customFormat="1" ht="21.75" customHeight="1">
      <c r="B96" s="94"/>
      <c r="C96" s="94"/>
      <c r="D96" s="94"/>
      <c r="E96" s="181"/>
      <c r="F96" s="95"/>
      <c r="G96" s="95"/>
      <c r="H96" s="95"/>
      <c r="I96" s="96"/>
      <c r="J96" s="201"/>
      <c r="K96" s="201"/>
      <c r="L96" s="201"/>
      <c r="M96" s="201"/>
      <c r="N96" s="197"/>
      <c r="O96" s="197"/>
      <c r="P96" s="197"/>
      <c r="Q96" s="197"/>
    </row>
    <row r="97" spans="2:17" s="90" customFormat="1" ht="21.75" customHeight="1">
      <c r="B97" s="94"/>
      <c r="C97" s="94"/>
      <c r="D97" s="94"/>
      <c r="E97" s="181"/>
      <c r="F97" s="95"/>
      <c r="G97" s="95"/>
      <c r="H97" s="95"/>
      <c r="I97" s="96"/>
      <c r="J97" s="201"/>
      <c r="K97" s="201"/>
      <c r="L97" s="201"/>
      <c r="M97" s="201"/>
      <c r="N97" s="197"/>
      <c r="O97" s="197"/>
      <c r="P97" s="197"/>
      <c r="Q97" s="197"/>
    </row>
    <row r="98" spans="2:17" s="90" customFormat="1" ht="21.75" customHeight="1">
      <c r="B98" s="94"/>
      <c r="C98" s="94"/>
      <c r="D98" s="94"/>
      <c r="E98" s="181"/>
      <c r="F98" s="95"/>
      <c r="G98" s="95"/>
      <c r="H98" s="95"/>
      <c r="I98" s="96"/>
      <c r="J98" s="201"/>
      <c r="K98" s="201"/>
      <c r="L98" s="201"/>
      <c r="M98" s="201"/>
      <c r="N98" s="197"/>
      <c r="O98" s="197"/>
      <c r="P98" s="197"/>
      <c r="Q98" s="197"/>
    </row>
    <row r="99" spans="2:17" s="90" customFormat="1" ht="21.75" customHeight="1">
      <c r="B99" s="94"/>
      <c r="C99" s="94"/>
      <c r="D99" s="94"/>
      <c r="E99" s="181"/>
      <c r="F99" s="95"/>
      <c r="G99" s="95"/>
      <c r="H99" s="95"/>
      <c r="I99" s="96"/>
      <c r="J99" s="201"/>
      <c r="K99" s="201"/>
      <c r="L99" s="201"/>
      <c r="M99" s="201"/>
      <c r="N99" s="197"/>
      <c r="O99" s="197"/>
      <c r="P99" s="197"/>
      <c r="Q99" s="197"/>
    </row>
    <row r="100" spans="2:17" s="90" customFormat="1" ht="21.75" customHeight="1">
      <c r="B100" s="94"/>
      <c r="C100" s="94"/>
      <c r="D100" s="94"/>
      <c r="E100" s="181"/>
      <c r="F100" s="95"/>
      <c r="G100" s="95"/>
      <c r="H100" s="95"/>
      <c r="I100" s="96"/>
      <c r="J100" s="201"/>
      <c r="K100" s="201"/>
      <c r="L100" s="201"/>
      <c r="M100" s="201"/>
      <c r="N100" s="197"/>
      <c r="O100" s="197"/>
      <c r="P100" s="197"/>
      <c r="Q100" s="197"/>
    </row>
    <row r="101" spans="2:17" s="90" customFormat="1" ht="21.75" customHeight="1">
      <c r="B101" s="94"/>
      <c r="C101" s="94"/>
      <c r="D101" s="94"/>
      <c r="E101" s="181"/>
      <c r="F101" s="95"/>
      <c r="G101" s="95"/>
      <c r="H101" s="95"/>
      <c r="I101" s="96"/>
      <c r="J101" s="201"/>
      <c r="K101" s="201"/>
      <c r="L101" s="201"/>
      <c r="M101" s="201"/>
      <c r="N101" s="197"/>
      <c r="O101" s="197"/>
      <c r="P101" s="197"/>
      <c r="Q101" s="197"/>
    </row>
    <row r="102" spans="2:17" s="90" customFormat="1" ht="21.75" customHeight="1">
      <c r="B102" s="94"/>
      <c r="C102" s="94"/>
      <c r="D102" s="94"/>
      <c r="E102" s="181"/>
      <c r="F102" s="95"/>
      <c r="G102" s="95"/>
      <c r="H102" s="95"/>
      <c r="I102" s="96"/>
      <c r="J102" s="201"/>
      <c r="K102" s="201"/>
      <c r="L102" s="201"/>
      <c r="M102" s="201"/>
      <c r="N102" s="197"/>
      <c r="O102" s="197"/>
      <c r="P102" s="197"/>
      <c r="Q102" s="197"/>
    </row>
    <row r="103" spans="2:17" s="90" customFormat="1" ht="21.75" customHeight="1">
      <c r="B103" s="94"/>
      <c r="C103" s="94"/>
      <c r="D103" s="94"/>
      <c r="E103" s="181"/>
      <c r="F103" s="95"/>
      <c r="G103" s="95"/>
      <c r="H103" s="95"/>
      <c r="I103" s="96"/>
      <c r="J103" s="201"/>
      <c r="K103" s="201"/>
      <c r="L103" s="201"/>
      <c r="M103" s="201"/>
      <c r="N103" s="197"/>
      <c r="O103" s="197"/>
      <c r="P103" s="197"/>
      <c r="Q103" s="197"/>
    </row>
    <row r="104" spans="2:17" s="90" customFormat="1" ht="21.75" customHeight="1">
      <c r="B104" s="94"/>
      <c r="C104" s="94"/>
      <c r="D104" s="94"/>
      <c r="E104" s="181"/>
      <c r="F104" s="95"/>
      <c r="G104" s="95"/>
      <c r="H104" s="95"/>
      <c r="I104" s="96"/>
      <c r="J104" s="201"/>
      <c r="K104" s="201"/>
      <c r="L104" s="201"/>
      <c r="M104" s="201"/>
      <c r="N104" s="197"/>
      <c r="O104" s="197"/>
      <c r="P104" s="197"/>
      <c r="Q104" s="197"/>
    </row>
    <row r="105" spans="2:17" s="90" customFormat="1" ht="21.75" customHeight="1">
      <c r="B105" s="94"/>
      <c r="C105" s="94"/>
      <c r="D105" s="94"/>
      <c r="E105" s="181"/>
      <c r="F105" s="95"/>
      <c r="G105" s="95"/>
      <c r="H105" s="95"/>
      <c r="I105" s="96"/>
      <c r="J105" s="201"/>
      <c r="K105" s="201"/>
      <c r="L105" s="201"/>
      <c r="M105" s="201"/>
      <c r="N105" s="197"/>
      <c r="O105" s="197"/>
      <c r="P105" s="197"/>
      <c r="Q105" s="197"/>
    </row>
    <row r="106" spans="2:17" s="90" customFormat="1" ht="21.75" customHeight="1">
      <c r="B106" s="94"/>
      <c r="C106" s="94"/>
      <c r="D106" s="94"/>
      <c r="E106" s="181"/>
      <c r="F106" s="95"/>
      <c r="G106" s="95"/>
      <c r="H106" s="95"/>
      <c r="I106" s="96"/>
      <c r="J106" s="201"/>
      <c r="K106" s="201"/>
      <c r="L106" s="201"/>
      <c r="M106" s="201"/>
      <c r="N106" s="197"/>
      <c r="O106" s="197"/>
      <c r="P106" s="197"/>
      <c r="Q106" s="197"/>
    </row>
    <row r="107" spans="2:17" s="90" customFormat="1" ht="21.75" customHeight="1">
      <c r="B107" s="94"/>
      <c r="C107" s="94"/>
      <c r="D107" s="94"/>
      <c r="E107" s="181"/>
      <c r="F107" s="95"/>
      <c r="G107" s="95"/>
      <c r="H107" s="95"/>
      <c r="I107" s="96"/>
      <c r="J107" s="201"/>
      <c r="K107" s="201"/>
      <c r="L107" s="201"/>
      <c r="M107" s="201"/>
      <c r="N107" s="197"/>
      <c r="O107" s="197"/>
      <c r="P107" s="197"/>
      <c r="Q107" s="197"/>
    </row>
    <row r="108" spans="2:17" s="90" customFormat="1" ht="21.75" customHeight="1">
      <c r="B108" s="94"/>
      <c r="C108" s="94"/>
      <c r="D108" s="94"/>
      <c r="E108" s="181"/>
      <c r="F108" s="95"/>
      <c r="G108" s="95"/>
      <c r="H108" s="95"/>
      <c r="I108" s="96"/>
      <c r="J108" s="201"/>
      <c r="K108" s="201"/>
      <c r="L108" s="201"/>
      <c r="M108" s="201"/>
      <c r="N108" s="197"/>
      <c r="O108" s="197"/>
      <c r="P108" s="197"/>
      <c r="Q108" s="197"/>
    </row>
    <row r="109" spans="2:17" s="90" customFormat="1" ht="21.75" customHeight="1">
      <c r="B109" s="94"/>
      <c r="C109" s="94"/>
      <c r="D109" s="94"/>
      <c r="E109" s="181"/>
      <c r="F109" s="95"/>
      <c r="G109" s="95"/>
      <c r="H109" s="95"/>
      <c r="I109" s="96"/>
      <c r="J109" s="201"/>
      <c r="K109" s="201"/>
      <c r="L109" s="201"/>
      <c r="M109" s="201"/>
      <c r="N109" s="197"/>
      <c r="O109" s="197"/>
      <c r="P109" s="197"/>
      <c r="Q109" s="197"/>
    </row>
    <row r="110" spans="2:17" s="90" customFormat="1" ht="21.75" customHeight="1">
      <c r="B110" s="94"/>
      <c r="C110" s="94"/>
      <c r="D110" s="94"/>
      <c r="E110" s="181"/>
      <c r="F110" s="95"/>
      <c r="G110" s="95"/>
      <c r="H110" s="95"/>
      <c r="I110" s="96"/>
      <c r="J110" s="201"/>
      <c r="K110" s="201"/>
      <c r="L110" s="201"/>
      <c r="M110" s="201"/>
      <c r="N110" s="197"/>
      <c r="O110" s="197"/>
      <c r="P110" s="197"/>
      <c r="Q110" s="197"/>
    </row>
    <row r="111" spans="2:17" s="90" customFormat="1" ht="21.75" customHeight="1">
      <c r="B111" s="94"/>
      <c r="C111" s="94"/>
      <c r="D111" s="94"/>
      <c r="E111" s="181"/>
      <c r="F111" s="95"/>
      <c r="G111" s="95"/>
      <c r="H111" s="95"/>
      <c r="I111" s="96"/>
      <c r="J111" s="201"/>
      <c r="K111" s="201"/>
      <c r="L111" s="201"/>
      <c r="M111" s="201"/>
      <c r="N111" s="197"/>
      <c r="O111" s="197"/>
      <c r="P111" s="197"/>
      <c r="Q111" s="197"/>
    </row>
    <row r="112" spans="2:17" s="90" customFormat="1" ht="21.75" customHeight="1">
      <c r="B112" s="94"/>
      <c r="C112" s="94"/>
      <c r="D112" s="94"/>
      <c r="E112" s="181"/>
      <c r="F112" s="95"/>
      <c r="G112" s="95"/>
      <c r="H112" s="95"/>
      <c r="I112" s="96"/>
      <c r="J112" s="201"/>
      <c r="K112" s="201"/>
      <c r="L112" s="201"/>
      <c r="M112" s="201"/>
      <c r="N112" s="197"/>
      <c r="O112" s="197"/>
      <c r="P112" s="197"/>
      <c r="Q112" s="197"/>
    </row>
    <row r="113" spans="2:17" s="90" customFormat="1" ht="21.75" customHeight="1">
      <c r="B113" s="94"/>
      <c r="C113" s="94"/>
      <c r="D113" s="94"/>
      <c r="E113" s="181"/>
      <c r="F113" s="95"/>
      <c r="G113" s="95"/>
      <c r="H113" s="95"/>
      <c r="I113" s="96"/>
      <c r="J113" s="201"/>
      <c r="K113" s="201"/>
      <c r="L113" s="201"/>
      <c r="M113" s="201"/>
      <c r="N113" s="197"/>
      <c r="O113" s="197"/>
      <c r="P113" s="197"/>
      <c r="Q113" s="197"/>
    </row>
    <row r="114" spans="2:17" s="90" customFormat="1" ht="21.75" customHeight="1">
      <c r="B114" s="94"/>
      <c r="C114" s="94"/>
      <c r="D114" s="94"/>
      <c r="E114" s="181"/>
      <c r="F114" s="95"/>
      <c r="G114" s="95"/>
      <c r="H114" s="95"/>
      <c r="I114" s="96"/>
      <c r="J114" s="201"/>
      <c r="K114" s="201"/>
      <c r="L114" s="201"/>
      <c r="M114" s="201"/>
      <c r="N114" s="197"/>
      <c r="O114" s="197"/>
      <c r="P114" s="197"/>
      <c r="Q114" s="197"/>
    </row>
    <row r="115" spans="2:17" s="90" customFormat="1" ht="21.75" customHeight="1">
      <c r="B115" s="94"/>
      <c r="C115" s="94"/>
      <c r="D115" s="94"/>
      <c r="E115" s="181"/>
      <c r="F115" s="95"/>
      <c r="G115" s="95"/>
      <c r="H115" s="95"/>
      <c r="I115" s="96"/>
      <c r="J115" s="201"/>
      <c r="K115" s="201"/>
      <c r="L115" s="201"/>
      <c r="M115" s="201"/>
      <c r="N115" s="197"/>
      <c r="O115" s="197"/>
      <c r="P115" s="197"/>
      <c r="Q115" s="197"/>
    </row>
    <row r="116" spans="2:17" s="90" customFormat="1" ht="21.75" customHeight="1">
      <c r="B116" s="94"/>
      <c r="C116" s="94"/>
      <c r="D116" s="94"/>
      <c r="E116" s="181"/>
      <c r="F116" s="95"/>
      <c r="G116" s="95"/>
      <c r="H116" s="95"/>
      <c r="I116" s="96"/>
      <c r="J116" s="201"/>
      <c r="K116" s="201"/>
      <c r="L116" s="201"/>
      <c r="M116" s="201"/>
      <c r="N116" s="197"/>
      <c r="O116" s="197"/>
      <c r="P116" s="197"/>
      <c r="Q116" s="197"/>
    </row>
    <row r="117" spans="2:17" s="90" customFormat="1" ht="21.75" customHeight="1">
      <c r="B117" s="94"/>
      <c r="C117" s="94"/>
      <c r="D117" s="94"/>
      <c r="E117" s="181"/>
      <c r="F117" s="95"/>
      <c r="G117" s="95"/>
      <c r="H117" s="95"/>
      <c r="I117" s="96"/>
      <c r="J117" s="201"/>
      <c r="K117" s="201"/>
      <c r="L117" s="201"/>
      <c r="M117" s="201"/>
      <c r="N117" s="197"/>
      <c r="O117" s="197"/>
      <c r="P117" s="197"/>
      <c r="Q117" s="197"/>
    </row>
    <row r="118" spans="2:17" s="90" customFormat="1" ht="21.75" customHeight="1">
      <c r="B118" s="94"/>
      <c r="C118" s="94"/>
      <c r="D118" s="94"/>
      <c r="E118" s="181"/>
      <c r="F118" s="95"/>
      <c r="G118" s="95"/>
      <c r="H118" s="95"/>
      <c r="I118" s="96"/>
      <c r="J118" s="201"/>
      <c r="K118" s="201"/>
      <c r="L118" s="201"/>
      <c r="M118" s="201"/>
      <c r="N118" s="197"/>
      <c r="O118" s="197"/>
      <c r="P118" s="197"/>
      <c r="Q118" s="197"/>
    </row>
    <row r="119" spans="2:17" s="90" customFormat="1" ht="21.75" customHeight="1">
      <c r="B119" s="94"/>
      <c r="C119" s="94"/>
      <c r="D119" s="94"/>
      <c r="E119" s="181"/>
      <c r="F119" s="95"/>
      <c r="G119" s="95"/>
      <c r="H119" s="95"/>
      <c r="I119" s="96"/>
      <c r="J119" s="201"/>
      <c r="K119" s="201"/>
      <c r="L119" s="201"/>
      <c r="M119" s="201"/>
      <c r="N119" s="197"/>
      <c r="O119" s="197"/>
      <c r="P119" s="197"/>
      <c r="Q119" s="197"/>
    </row>
    <row r="120" spans="2:17" s="90" customFormat="1" ht="21.75" customHeight="1">
      <c r="B120" s="94"/>
      <c r="C120" s="94"/>
      <c r="D120" s="94"/>
      <c r="E120" s="181"/>
      <c r="F120" s="95"/>
      <c r="G120" s="95"/>
      <c r="H120" s="95"/>
      <c r="I120" s="96"/>
      <c r="J120" s="201"/>
      <c r="K120" s="201"/>
      <c r="L120" s="201"/>
      <c r="M120" s="201"/>
      <c r="N120" s="197"/>
      <c r="O120" s="197"/>
      <c r="P120" s="197"/>
      <c r="Q120" s="197"/>
    </row>
    <row r="121" spans="2:17" s="90" customFormat="1" ht="21.75" customHeight="1">
      <c r="B121" s="94"/>
      <c r="C121" s="94"/>
      <c r="D121" s="94"/>
      <c r="E121" s="181"/>
      <c r="F121" s="95"/>
      <c r="G121" s="95"/>
      <c r="H121" s="95"/>
      <c r="I121" s="96"/>
      <c r="J121" s="201"/>
      <c r="K121" s="201"/>
      <c r="L121" s="201"/>
      <c r="M121" s="201"/>
      <c r="N121" s="197"/>
      <c r="O121" s="197"/>
      <c r="P121" s="197"/>
      <c r="Q121" s="197"/>
    </row>
    <row r="122" spans="2:17" s="90" customFormat="1" ht="21.75" customHeight="1">
      <c r="B122" s="94"/>
      <c r="C122" s="94"/>
      <c r="D122" s="94"/>
      <c r="E122" s="181"/>
      <c r="F122" s="95"/>
      <c r="G122" s="95"/>
      <c r="H122" s="95"/>
      <c r="I122" s="96"/>
      <c r="J122" s="201"/>
      <c r="K122" s="201"/>
      <c r="L122" s="201"/>
      <c r="M122" s="201"/>
      <c r="N122" s="197"/>
      <c r="O122" s="197"/>
      <c r="P122" s="197"/>
      <c r="Q122" s="197"/>
    </row>
    <row r="123" spans="2:17" s="90" customFormat="1" ht="21.75" customHeight="1">
      <c r="B123" s="94"/>
      <c r="C123" s="94"/>
      <c r="D123" s="94"/>
      <c r="E123" s="181"/>
      <c r="F123" s="95"/>
      <c r="G123" s="95"/>
      <c r="H123" s="95"/>
      <c r="I123" s="96"/>
      <c r="J123" s="201"/>
      <c r="K123" s="201"/>
      <c r="L123" s="201"/>
      <c r="M123" s="201"/>
      <c r="N123" s="197"/>
      <c r="O123" s="197"/>
      <c r="P123" s="197"/>
      <c r="Q123" s="197"/>
    </row>
    <row r="124" spans="2:17" s="90" customFormat="1" ht="21.75" customHeight="1">
      <c r="B124" s="94"/>
      <c r="C124" s="94"/>
      <c r="D124" s="94"/>
      <c r="E124" s="181"/>
      <c r="F124" s="95"/>
      <c r="G124" s="95"/>
      <c r="H124" s="95"/>
      <c r="I124" s="96"/>
      <c r="J124" s="201"/>
      <c r="K124" s="201"/>
      <c r="L124" s="201"/>
      <c r="M124" s="201"/>
      <c r="N124" s="197"/>
      <c r="O124" s="197"/>
      <c r="P124" s="197"/>
      <c r="Q124" s="197"/>
    </row>
    <row r="125" spans="2:17" s="90" customFormat="1" ht="21.75" customHeight="1">
      <c r="B125" s="94"/>
      <c r="C125" s="94"/>
      <c r="D125" s="94"/>
      <c r="E125" s="181"/>
      <c r="F125" s="95"/>
      <c r="G125" s="95"/>
      <c r="H125" s="95"/>
      <c r="I125" s="96"/>
      <c r="J125" s="201"/>
      <c r="K125" s="201"/>
      <c r="L125" s="201"/>
      <c r="M125" s="201"/>
      <c r="N125" s="197"/>
      <c r="O125" s="197"/>
      <c r="P125" s="197"/>
      <c r="Q125" s="197"/>
    </row>
    <row r="126" spans="2:17" s="90" customFormat="1" ht="21.75" customHeight="1">
      <c r="B126" s="94"/>
      <c r="C126" s="94"/>
      <c r="D126" s="94"/>
      <c r="E126" s="181"/>
      <c r="F126" s="95"/>
      <c r="G126" s="95"/>
      <c r="H126" s="95"/>
      <c r="I126" s="96"/>
      <c r="J126" s="201"/>
      <c r="K126" s="201"/>
      <c r="L126" s="201"/>
      <c r="M126" s="201"/>
      <c r="N126" s="197"/>
      <c r="O126" s="197"/>
      <c r="P126" s="197"/>
      <c r="Q126" s="197"/>
    </row>
    <row r="127" spans="2:17" s="90" customFormat="1" ht="21.75" customHeight="1">
      <c r="B127" s="94"/>
      <c r="C127" s="94"/>
      <c r="D127" s="94"/>
      <c r="E127" s="181"/>
      <c r="F127" s="95"/>
      <c r="G127" s="95"/>
      <c r="H127" s="95"/>
      <c r="I127" s="96"/>
      <c r="J127" s="201"/>
      <c r="K127" s="201"/>
      <c r="L127" s="201"/>
      <c r="M127" s="201"/>
      <c r="N127" s="197"/>
      <c r="O127" s="197"/>
      <c r="P127" s="197"/>
      <c r="Q127" s="197"/>
    </row>
    <row r="128" spans="2:17" s="90" customFormat="1" ht="21.75" customHeight="1">
      <c r="B128" s="94"/>
      <c r="C128" s="94"/>
      <c r="D128" s="94"/>
      <c r="E128" s="94"/>
      <c r="F128" s="95"/>
      <c r="G128" s="95"/>
      <c r="H128" s="95"/>
      <c r="J128" s="201"/>
      <c r="K128" s="201"/>
      <c r="L128" s="201"/>
      <c r="M128" s="201"/>
      <c r="N128" s="197"/>
      <c r="O128" s="197"/>
      <c r="P128" s="197"/>
      <c r="Q128" s="197"/>
    </row>
    <row r="129" spans="2:17" s="90" customFormat="1" ht="21.75" customHeight="1">
      <c r="B129" s="94"/>
      <c r="C129" s="94"/>
      <c r="D129" s="94"/>
      <c r="E129" s="94"/>
      <c r="F129" s="95"/>
      <c r="G129" s="95"/>
      <c r="H129" s="95"/>
      <c r="J129" s="201"/>
      <c r="K129" s="201"/>
      <c r="L129" s="201"/>
      <c r="M129" s="201"/>
      <c r="N129" s="197"/>
      <c r="O129" s="197"/>
      <c r="P129" s="197"/>
      <c r="Q129" s="197"/>
    </row>
    <row r="130" spans="2:17" s="90" customFormat="1" ht="21.75" customHeight="1">
      <c r="B130" s="94"/>
      <c r="C130" s="94"/>
      <c r="D130" s="94"/>
      <c r="E130" s="94"/>
      <c r="F130" s="95"/>
      <c r="G130" s="95"/>
      <c r="H130" s="95"/>
      <c r="J130" s="201"/>
      <c r="K130" s="201"/>
      <c r="L130" s="201"/>
      <c r="M130" s="201"/>
      <c r="N130" s="197"/>
      <c r="O130" s="197"/>
      <c r="P130" s="197"/>
      <c r="Q130" s="197"/>
    </row>
    <row r="131" spans="2:17" s="90" customFormat="1" ht="21.75" customHeight="1">
      <c r="B131" s="94"/>
      <c r="C131" s="94"/>
      <c r="D131" s="94"/>
      <c r="E131" s="94"/>
      <c r="F131" s="95"/>
      <c r="G131" s="95"/>
      <c r="H131" s="95"/>
      <c r="J131" s="201"/>
      <c r="K131" s="201"/>
      <c r="L131" s="201"/>
      <c r="M131" s="201"/>
      <c r="N131" s="197"/>
      <c r="O131" s="197"/>
      <c r="P131" s="197"/>
      <c r="Q131" s="197"/>
    </row>
    <row r="132" spans="2:17" s="90" customFormat="1" ht="21.75" customHeight="1">
      <c r="B132" s="94"/>
      <c r="C132" s="94"/>
      <c r="D132" s="94"/>
      <c r="E132" s="94"/>
      <c r="F132" s="95"/>
      <c r="G132" s="95"/>
      <c r="H132" s="95"/>
      <c r="J132" s="201"/>
      <c r="K132" s="201"/>
      <c r="L132" s="201"/>
      <c r="M132" s="201"/>
      <c r="N132" s="197"/>
      <c r="O132" s="197"/>
      <c r="P132" s="197"/>
      <c r="Q132" s="197"/>
    </row>
    <row r="133" spans="2:17" s="90" customFormat="1" ht="21.75" customHeight="1">
      <c r="B133" s="94"/>
      <c r="C133" s="94"/>
      <c r="D133" s="94"/>
      <c r="E133" s="94"/>
      <c r="F133" s="95"/>
      <c r="G133" s="95"/>
      <c r="H133" s="95"/>
      <c r="J133" s="201"/>
      <c r="K133" s="201"/>
      <c r="L133" s="201"/>
      <c r="M133" s="201"/>
      <c r="N133" s="197"/>
      <c r="O133" s="197"/>
      <c r="P133" s="197"/>
      <c r="Q133" s="197"/>
    </row>
  </sheetData>
  <mergeCells count="8">
    <mergeCell ref="A1:Q1"/>
    <mergeCell ref="A2:Q2"/>
    <mergeCell ref="J3:Q3"/>
    <mergeCell ref="A4:A5"/>
    <mergeCell ref="B4:E4"/>
    <mergeCell ref="F4:I4"/>
    <mergeCell ref="J4:M4"/>
    <mergeCell ref="N4:Q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0" fitToHeight="0" orientation="landscape" r:id="rId1"/>
  <headerFooter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pageSetUpPr fitToPage="1"/>
  </sheetPr>
  <dimension ref="A1:CU196"/>
  <sheetViews>
    <sheetView view="pageBreakPreview" topLeftCell="A46" zoomScaleNormal="100" zoomScaleSheetLayoutView="100" workbookViewId="0">
      <selection activeCell="B14" sqref="B14"/>
    </sheetView>
  </sheetViews>
  <sheetFormatPr defaultColWidth="9" defaultRowHeight="21.75" customHeight="1"/>
  <cols>
    <col min="1" max="1" width="30.625" style="92" customWidth="1"/>
    <col min="2" max="5" width="17.125" style="316" customWidth="1"/>
    <col min="6" max="6" width="17.125" style="317" customWidth="1"/>
    <col min="7" max="7" width="17.125" style="318" customWidth="1"/>
    <col min="8" max="8" width="6.25" style="62" customWidth="1"/>
    <col min="9" max="9" width="19.5" style="62" customWidth="1"/>
    <col min="10" max="10" width="11.25" style="62" customWidth="1"/>
    <col min="11" max="11" width="14.5" style="62" customWidth="1"/>
    <col min="12" max="12" width="12.875" style="62" bestFit="1" customWidth="1"/>
    <col min="13" max="13" width="9" style="62"/>
    <col min="14" max="15" width="9.25" style="62" bestFit="1" customWidth="1"/>
    <col min="16" max="16384" width="9" style="62"/>
  </cols>
  <sheetData>
    <row r="1" spans="1:99" s="75" customFormat="1" ht="34.5" customHeight="1">
      <c r="A1" s="3567" t="s">
        <v>1552</v>
      </c>
      <c r="B1" s="3567"/>
      <c r="C1" s="3567"/>
      <c r="D1" s="3567"/>
      <c r="E1" s="3567"/>
      <c r="F1" s="3567"/>
      <c r="G1" s="3567"/>
      <c r="H1" s="73"/>
      <c r="I1" s="2985"/>
      <c r="J1" s="2985"/>
      <c r="K1" s="2985"/>
      <c r="L1" s="2985"/>
      <c r="M1" s="2985"/>
      <c r="N1" s="2985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</row>
    <row r="2" spans="1:99" s="75" customFormat="1" ht="17.25" customHeight="1">
      <c r="A2" s="3574"/>
      <c r="B2" s="3574"/>
      <c r="C2" s="3574"/>
      <c r="D2" s="3574"/>
      <c r="E2" s="3574"/>
      <c r="F2" s="3574"/>
      <c r="G2" s="3574"/>
      <c r="I2" s="74"/>
      <c r="J2" s="74"/>
      <c r="K2" s="74"/>
      <c r="L2" s="74"/>
      <c r="M2" s="2987"/>
      <c r="N2" s="2987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CQ2" s="74"/>
      <c r="CR2" s="74"/>
      <c r="CS2" s="74"/>
      <c r="CT2" s="74"/>
      <c r="CU2" s="74"/>
    </row>
    <row r="3" spans="1:99" s="75" customFormat="1" ht="21.75" customHeight="1" thickBot="1">
      <c r="A3" s="3592"/>
      <c r="B3" s="3592"/>
      <c r="C3" s="3592"/>
      <c r="D3" s="311"/>
      <c r="E3" s="311"/>
      <c r="F3" s="3593" t="s">
        <v>562</v>
      </c>
      <c r="G3" s="3593"/>
      <c r="H3" s="76"/>
      <c r="I3" s="74"/>
      <c r="J3" s="74"/>
      <c r="K3" s="79"/>
      <c r="L3" s="79"/>
      <c r="M3" s="79"/>
      <c r="N3" s="79"/>
      <c r="O3" s="79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</row>
    <row r="4" spans="1:99" s="75" customFormat="1" ht="20.100000000000001" customHeight="1">
      <c r="A4" s="3594" t="s">
        <v>563</v>
      </c>
      <c r="B4" s="3595"/>
      <c r="C4" s="3595"/>
      <c r="D4" s="3595"/>
      <c r="E4" s="3595"/>
      <c r="F4" s="3595"/>
      <c r="G4" s="3596"/>
      <c r="H4" s="77"/>
      <c r="I4" s="74"/>
      <c r="J4" s="74"/>
      <c r="K4" s="85"/>
      <c r="L4" s="85"/>
      <c r="M4" s="79"/>
      <c r="N4" s="79"/>
      <c r="O4" s="79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4"/>
      <c r="CO4" s="74"/>
      <c r="CP4" s="74"/>
      <c r="CQ4" s="74"/>
      <c r="CR4" s="74"/>
      <c r="CS4" s="74"/>
      <c r="CT4" s="74"/>
      <c r="CU4" s="74"/>
    </row>
    <row r="5" spans="1:99" s="80" customFormat="1" ht="20.100000000000001" customHeight="1">
      <c r="A5" s="3588" t="s">
        <v>564</v>
      </c>
      <c r="B5" s="3590" t="s">
        <v>1560</v>
      </c>
      <c r="C5" s="3590"/>
      <c r="D5" s="3590" t="s">
        <v>1562</v>
      </c>
      <c r="E5" s="3590"/>
      <c r="F5" s="3590" t="s">
        <v>565</v>
      </c>
      <c r="G5" s="3591"/>
      <c r="H5" s="78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</row>
    <row r="6" spans="1:99" s="80" customFormat="1" ht="20.100000000000001" customHeight="1">
      <c r="A6" s="3589"/>
      <c r="B6" s="266" t="s">
        <v>566</v>
      </c>
      <c r="C6" s="266" t="s">
        <v>567</v>
      </c>
      <c r="D6" s="266" t="s">
        <v>568</v>
      </c>
      <c r="E6" s="266" t="s">
        <v>567</v>
      </c>
      <c r="F6" s="267" t="s">
        <v>569</v>
      </c>
      <c r="G6" s="268" t="s">
        <v>570</v>
      </c>
      <c r="H6" s="78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</row>
    <row r="7" spans="1:99" s="80" customFormat="1" ht="21.95" customHeight="1">
      <c r="A7" s="269" t="s">
        <v>571</v>
      </c>
      <c r="B7" s="270">
        <f>SUM(B8,B57)</f>
        <v>8711827000</v>
      </c>
      <c r="C7" s="271">
        <f>+C8+C57</f>
        <v>1</v>
      </c>
      <c r="D7" s="270">
        <f>SUM(D8,D57)</f>
        <v>10222359000</v>
      </c>
      <c r="E7" s="271">
        <f>+E8+E57</f>
        <v>1</v>
      </c>
      <c r="F7" s="272">
        <f>B7-D7</f>
        <v>-1510532000</v>
      </c>
      <c r="G7" s="216">
        <f>+F7/D7</f>
        <v>-0.14776745758977941</v>
      </c>
      <c r="H7" s="81"/>
      <c r="I7" s="85">
        <v>8794791000</v>
      </c>
      <c r="J7" s="79"/>
      <c r="K7" s="85"/>
      <c r="L7" s="85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</row>
    <row r="8" spans="1:99" s="80" customFormat="1" ht="21.95" customHeight="1">
      <c r="A8" s="273" t="s">
        <v>676</v>
      </c>
      <c r="B8" s="274">
        <f>B9+B17+B23+B31+B33+B40+B53+B55</f>
        <v>6366834000</v>
      </c>
      <c r="C8" s="275">
        <f>+B8/$B$7</f>
        <v>0.73082649598069382</v>
      </c>
      <c r="D8" s="274">
        <f>D9+D17+D23+D31+D33+D40+D53+D55+D35</f>
        <v>8265090000</v>
      </c>
      <c r="E8" s="275">
        <f>+D8/$D$7</f>
        <v>0.80853059455258813</v>
      </c>
      <c r="F8" s="276">
        <f>F9+F17+F23+F31+F33+F40+F53+F55</f>
        <v>-1832865000</v>
      </c>
      <c r="G8" s="277">
        <f>+F8/D8</f>
        <v>-0.22175983564607282</v>
      </c>
      <c r="H8" s="81"/>
      <c r="I8" s="79"/>
      <c r="J8" s="79"/>
      <c r="K8" s="79"/>
      <c r="L8" s="79"/>
      <c r="M8" s="79"/>
      <c r="N8" s="85">
        <f>B9+B17</f>
        <v>5914513000</v>
      </c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  <c r="CL8" s="79"/>
      <c r="CM8" s="79"/>
      <c r="CN8" s="79"/>
      <c r="CO8" s="79"/>
      <c r="CP8" s="79"/>
      <c r="CQ8" s="79"/>
      <c r="CR8" s="79"/>
      <c r="CS8" s="79"/>
      <c r="CT8" s="79"/>
      <c r="CU8" s="79"/>
    </row>
    <row r="9" spans="1:99" s="84" customFormat="1" ht="21.95" customHeight="1">
      <c r="A9" s="278" t="s">
        <v>677</v>
      </c>
      <c r="B9" s="279">
        <f>SUM(B10:B16)</f>
        <v>4313212000</v>
      </c>
      <c r="C9" s="280">
        <f t="shared" ref="C9:C15" si="0">+B9/$B$7</f>
        <v>0.495098444907136</v>
      </c>
      <c r="D9" s="279">
        <f>SUM(D10:D16)</f>
        <v>4598613000</v>
      </c>
      <c r="E9" s="280">
        <f>+D9/$D$7</f>
        <v>0.44985829591780135</v>
      </c>
      <c r="F9" s="281">
        <f>SUM(F10:F16)</f>
        <v>-285401000</v>
      </c>
      <c r="G9" s="282">
        <f>+F9/D9</f>
        <v>-6.2062408817615225E-2</v>
      </c>
      <c r="H9" s="81"/>
      <c r="I9" s="83"/>
      <c r="J9" s="83"/>
      <c r="K9" s="83"/>
      <c r="L9" s="83"/>
      <c r="M9" s="83"/>
      <c r="N9" s="177"/>
      <c r="O9" s="177"/>
      <c r="P9" s="177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83"/>
    </row>
    <row r="10" spans="1:99" s="80" customFormat="1" ht="21.95" customHeight="1">
      <c r="A10" s="437" t="s">
        <v>572</v>
      </c>
      <c r="B10" s="3106">
        <f>'예산세입(사무국)'!P20</f>
        <v>3222569000</v>
      </c>
      <c r="C10" s="3091">
        <f>+B10/$B$7</f>
        <v>0.36990736845440114</v>
      </c>
      <c r="D10" s="3106">
        <v>1600000000</v>
      </c>
      <c r="E10" s="3091">
        <f>+D10/$D$7</f>
        <v>0.15651964482953495</v>
      </c>
      <c r="F10" s="3107">
        <f>+B10-D10</f>
        <v>1622569000</v>
      </c>
      <c r="G10" s="3093">
        <f>+F10/D10</f>
        <v>1.014105625</v>
      </c>
      <c r="H10" s="81"/>
      <c r="I10" s="133"/>
      <c r="J10" s="79" t="s">
        <v>702</v>
      </c>
      <c r="K10" s="79" t="s">
        <v>703</v>
      </c>
      <c r="L10" s="79"/>
      <c r="M10" s="79"/>
      <c r="N10" s="85"/>
      <c r="O10" s="85">
        <f>D9+D17</f>
        <v>5999764000</v>
      </c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</row>
    <row r="11" spans="1:99" s="80" customFormat="1" ht="21.95" customHeight="1">
      <c r="A11" s="439" t="s">
        <v>573</v>
      </c>
      <c r="B11" s="3108">
        <f>'예산세입(마두)'!P87</f>
        <v>318913000</v>
      </c>
      <c r="C11" s="3096">
        <f t="shared" si="0"/>
        <v>3.6606902317963846E-2</v>
      </c>
      <c r="D11" s="3108">
        <v>861000000</v>
      </c>
      <c r="E11" s="3091">
        <f t="shared" ref="E11:E56" si="1">+D11/$D$7</f>
        <v>8.4227133873893495E-2</v>
      </c>
      <c r="F11" s="3107">
        <f t="shared" ref="F11:F16" si="2">+B11-D11</f>
        <v>-542087000</v>
      </c>
      <c r="G11" s="3098">
        <f t="shared" ref="G11:G16" si="3">+F11/D11</f>
        <v>-0.62960162601626013</v>
      </c>
      <c r="H11" s="81"/>
      <c r="I11" s="133" t="s">
        <v>2918</v>
      </c>
      <c r="J11" s="166">
        <f>SUMIFS($B$10:$B$105,$A$10:$A$105,"사무국")</f>
        <v>3623469000</v>
      </c>
      <c r="K11" s="167">
        <f>SUMIF($A$10:$A$105,"사무국",$D$10:$D$105)</f>
        <v>2147350000</v>
      </c>
      <c r="L11" s="162">
        <f>J11-K11</f>
        <v>1476119000</v>
      </c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</row>
    <row r="12" spans="1:99" s="80" customFormat="1" ht="21.95" customHeight="1">
      <c r="A12" s="439" t="s">
        <v>575</v>
      </c>
      <c r="B12" s="3108">
        <f>'예산세입(진로)'!O29</f>
        <v>61258000</v>
      </c>
      <c r="C12" s="3096">
        <f t="shared" si="0"/>
        <v>7.0315905033467721E-3</v>
      </c>
      <c r="D12" s="3108">
        <v>324988000</v>
      </c>
      <c r="E12" s="3096">
        <f t="shared" si="1"/>
        <v>3.1791878958663061E-2</v>
      </c>
      <c r="F12" s="3107">
        <f>+B12-D12</f>
        <v>-263730000</v>
      </c>
      <c r="G12" s="3098">
        <f t="shared" si="3"/>
        <v>-0.81150688640811353</v>
      </c>
      <c r="H12" s="81"/>
      <c r="I12" s="133" t="s">
        <v>576</v>
      </c>
      <c r="J12" s="167">
        <f>SUMIFS($B$10:$B$105,$A$10:$A$105,"마두청소년수련관")</f>
        <v>1143863000</v>
      </c>
      <c r="K12" s="168">
        <f>SUMIF($A$10:$A$105,"마두청소년수련관",$D$10:$D$105)</f>
        <v>1644864000</v>
      </c>
      <c r="L12" s="162">
        <f t="shared" ref="L12:L22" si="4">J12-K12</f>
        <v>-501001000</v>
      </c>
      <c r="M12" s="79"/>
      <c r="N12" s="79"/>
      <c r="O12" s="85">
        <f>B11+B12+B13+B14+B15+B16</f>
        <v>1090643000</v>
      </c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</row>
    <row r="13" spans="1:99" s="80" customFormat="1" ht="21.95" customHeight="1">
      <c r="A13" s="439" t="s">
        <v>577</v>
      </c>
      <c r="B13" s="3108">
        <f>'예산세입(성사)'!P32</f>
        <v>184082000</v>
      </c>
      <c r="C13" s="3096">
        <f t="shared" si="0"/>
        <v>2.1130125747446545E-2</v>
      </c>
      <c r="D13" s="3108">
        <v>331348000</v>
      </c>
      <c r="E13" s="3096">
        <f t="shared" si="1"/>
        <v>3.2414044546860463E-2</v>
      </c>
      <c r="F13" s="3107">
        <f t="shared" si="2"/>
        <v>-147266000</v>
      </c>
      <c r="G13" s="3098">
        <f t="shared" si="3"/>
        <v>-0.44444511510556878</v>
      </c>
      <c r="H13" s="81"/>
      <c r="I13" s="133" t="s">
        <v>578</v>
      </c>
      <c r="J13" s="167">
        <f>SUMIFS($B$10:$B$105,$A$10:$A$105,"고양시청소년진로센터")</f>
        <v>61498000</v>
      </c>
      <c r="K13" s="167">
        <f>SUMIF($A$10:$A$105,"고양시청소년진로센터",$D$10:$D$105)</f>
        <v>656844000</v>
      </c>
      <c r="L13" s="162">
        <f t="shared" si="4"/>
        <v>-595346000</v>
      </c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</row>
    <row r="14" spans="1:99" s="80" customFormat="1" ht="21.95" customHeight="1">
      <c r="A14" s="439" t="s">
        <v>579</v>
      </c>
      <c r="B14" s="3108">
        <f>'예산세입(탄현)'!O48</f>
        <v>86947000</v>
      </c>
      <c r="C14" s="3096">
        <f t="shared" si="0"/>
        <v>9.9803405186994643E-3</v>
      </c>
      <c r="D14" s="3108">
        <v>216088000</v>
      </c>
      <c r="E14" s="3091">
        <f t="shared" si="1"/>
        <v>2.1138760632452843E-2</v>
      </c>
      <c r="F14" s="3107">
        <f t="shared" si="2"/>
        <v>-129141000</v>
      </c>
      <c r="G14" s="3098">
        <f t="shared" si="3"/>
        <v>-0.59763152049165158</v>
      </c>
      <c r="H14" s="81"/>
      <c r="I14" s="133" t="s">
        <v>580</v>
      </c>
      <c r="J14" s="167">
        <f>SUMIFS($B$10:$B$105,$A$10:$A$105,"성사청소년문화의집")</f>
        <v>215312000</v>
      </c>
      <c r="K14" s="167">
        <f>SUMIF($A$10:$A$105,"성사청소년문화의집",$D$10:$D$105)</f>
        <v>587720000</v>
      </c>
      <c r="L14" s="162">
        <f t="shared" si="4"/>
        <v>-372408000</v>
      </c>
      <c r="M14" s="79"/>
      <c r="N14" s="79"/>
      <c r="O14" s="79" t="s">
        <v>2330</v>
      </c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</row>
    <row r="15" spans="1:99" s="80" customFormat="1" ht="21.95" customHeight="1">
      <c r="A15" s="439" t="s">
        <v>581</v>
      </c>
      <c r="B15" s="3108">
        <f>'예산세입(주교)'!O23</f>
        <v>16041000</v>
      </c>
      <c r="C15" s="3096">
        <f t="shared" si="0"/>
        <v>1.8412900072510624E-3</v>
      </c>
      <c r="D15" s="3108">
        <v>65189000</v>
      </c>
      <c r="E15" s="3096">
        <f t="shared" si="1"/>
        <v>6.377099454245346E-3</v>
      </c>
      <c r="F15" s="3107">
        <f t="shared" si="2"/>
        <v>-49148000</v>
      </c>
      <c r="G15" s="3098">
        <f t="shared" si="3"/>
        <v>-0.75393087790884961</v>
      </c>
      <c r="H15" s="81"/>
      <c r="I15" s="133" t="s">
        <v>582</v>
      </c>
      <c r="J15" s="167">
        <f>SUMIFS($B$10:$B$105,$A$10:$A$105,"탄현청소년문화의집")</f>
        <v>214777000</v>
      </c>
      <c r="K15" s="167">
        <f>SUMIF($A$10:$A$105,"탄현청소년문화의집",$D$10:$D$105)</f>
        <v>358832000</v>
      </c>
      <c r="L15" s="162">
        <f t="shared" si="4"/>
        <v>-144055000</v>
      </c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79"/>
      <c r="CU15" s="79"/>
    </row>
    <row r="16" spans="1:99" s="80" customFormat="1" ht="21.95" customHeight="1">
      <c r="A16" s="439" t="s">
        <v>583</v>
      </c>
      <c r="B16" s="3108">
        <f>'예산세입(일산서구)'!P77</f>
        <v>423402000</v>
      </c>
      <c r="C16" s="3096">
        <f>+B16/$B$7</f>
        <v>4.8600827358027197E-2</v>
      </c>
      <c r="D16" s="3108">
        <v>1200000000</v>
      </c>
      <c r="E16" s="3096">
        <f t="shared" si="1"/>
        <v>0.1173897336221512</v>
      </c>
      <c r="F16" s="3107">
        <f t="shared" si="2"/>
        <v>-776598000</v>
      </c>
      <c r="G16" s="3098">
        <f t="shared" si="3"/>
        <v>-0.64716499999999999</v>
      </c>
      <c r="H16" s="81"/>
      <c r="I16" s="133" t="s">
        <v>584</v>
      </c>
      <c r="J16" s="167">
        <f>SUMIFS($B$10:$B$105,$A$10:$A$105,"주교동청소년카페")</f>
        <v>16051000</v>
      </c>
      <c r="K16" s="167">
        <f>SUMIF($A$10:$A$105,"주교동청소년카페",$D$10:$D$105)</f>
        <v>106242000</v>
      </c>
      <c r="L16" s="162">
        <f t="shared" si="4"/>
        <v>-90191000</v>
      </c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</row>
    <row r="17" spans="1:99" s="80" customFormat="1" ht="21.95" customHeight="1">
      <c r="A17" s="283" t="s">
        <v>687</v>
      </c>
      <c r="B17" s="284">
        <f>SUM(B18:B22)</f>
        <v>1601301000</v>
      </c>
      <c r="C17" s="285">
        <f>+B17/$B$7</f>
        <v>0.18380771335335286</v>
      </c>
      <c r="D17" s="284">
        <f>SUM(D18:D22)</f>
        <v>1401151000</v>
      </c>
      <c r="E17" s="286">
        <f t="shared" si="1"/>
        <v>0.13706728554534231</v>
      </c>
      <c r="F17" s="287">
        <f>SUM(F18:F22)</f>
        <v>200150000</v>
      </c>
      <c r="G17" s="288">
        <f t="shared" ref="G17" si="5">+F17/D17</f>
        <v>0.14284684520083846</v>
      </c>
      <c r="H17" s="86"/>
      <c r="I17" s="133" t="s">
        <v>583</v>
      </c>
      <c r="J17" s="167">
        <f>SUMIFS($B$10:$B$105,$A$10:$A$105,"일산서구청소년수련관")</f>
        <v>914627000</v>
      </c>
      <c r="K17" s="167">
        <f>SUMIF($A$10:$A$105,"일산서구청소년수련관",$D$10:$D$105)</f>
        <v>1345286000</v>
      </c>
      <c r="L17" s="162">
        <f t="shared" si="4"/>
        <v>-430659000</v>
      </c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</row>
    <row r="18" spans="1:99" s="80" customFormat="1" ht="21.95" customHeight="1">
      <c r="A18" s="439" t="s">
        <v>588</v>
      </c>
      <c r="B18" s="3109">
        <f>'예산세입(토당)'!P82</f>
        <v>931104000</v>
      </c>
      <c r="C18" s="3096">
        <f t="shared" ref="C18:E80" si="6">+B18/$B$7</f>
        <v>0.10687815540873344</v>
      </c>
      <c r="D18" s="3109">
        <v>822500000</v>
      </c>
      <c r="E18" s="3096">
        <f t="shared" si="1"/>
        <v>8.0460879920182804E-2</v>
      </c>
      <c r="F18" s="3110">
        <f t="shared" ref="F18:F22" si="7">+B18-D18</f>
        <v>108604000</v>
      </c>
      <c r="G18" s="3098">
        <f t="shared" ref="G18:G22" si="8">+F18/D18</f>
        <v>0.13204133738601823</v>
      </c>
      <c r="H18" s="81"/>
      <c r="I18" s="133" t="s">
        <v>585</v>
      </c>
      <c r="J18" s="167">
        <f>SUMIFS($B$10:$B$105,$A$10:$A$105,"토당청소년수련관")</f>
        <v>1749582000</v>
      </c>
      <c r="K18" s="167">
        <f>SUMIF($A$10:$A$105,"토당청소년수련관",$D$10:$D$105)</f>
        <v>1947236000</v>
      </c>
      <c r="L18" s="162">
        <f t="shared" si="4"/>
        <v>-197654000</v>
      </c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79"/>
      <c r="CO18" s="79"/>
      <c r="CP18" s="79"/>
      <c r="CQ18" s="79"/>
      <c r="CR18" s="79"/>
      <c r="CS18" s="79"/>
      <c r="CT18" s="79"/>
      <c r="CU18" s="79"/>
    </row>
    <row r="19" spans="1:99" s="80" customFormat="1" ht="21.95" customHeight="1">
      <c r="A19" s="439" t="s">
        <v>438</v>
      </c>
      <c r="B19" s="3109">
        <f>'예산세입(상담)'!O22</f>
        <v>375948000</v>
      </c>
      <c r="C19" s="3096">
        <f t="shared" si="6"/>
        <v>4.315374949479598E-2</v>
      </c>
      <c r="D19" s="3109">
        <v>323393000</v>
      </c>
      <c r="E19" s="3096">
        <f t="shared" si="1"/>
        <v>3.1635848437723622E-2</v>
      </c>
      <c r="F19" s="3110">
        <f t="shared" si="7"/>
        <v>52555000</v>
      </c>
      <c r="G19" s="3098">
        <f t="shared" si="8"/>
        <v>0.16251124792435209</v>
      </c>
      <c r="H19" s="81"/>
      <c r="I19" s="133" t="s">
        <v>438</v>
      </c>
      <c r="J19" s="167">
        <f>SUMIFS($B$10:$B$105,$A$10:$A$105,"고양시청소년상담복지센터")</f>
        <v>424075000</v>
      </c>
      <c r="K19" s="167">
        <f>SUMIF($A$10:$A$105,"고양시청소년상담복지센터",$D$10:$D$105)</f>
        <v>1115590000</v>
      </c>
      <c r="L19" s="162">
        <f t="shared" si="4"/>
        <v>-691515000</v>
      </c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  <c r="CE19" s="79"/>
      <c r="CF19" s="79"/>
      <c r="CG19" s="79"/>
      <c r="CH19" s="79"/>
      <c r="CI19" s="79"/>
      <c r="CJ19" s="79"/>
      <c r="CK19" s="79"/>
      <c r="CL19" s="79"/>
      <c r="CM19" s="79"/>
      <c r="CN19" s="79"/>
      <c r="CO19" s="79"/>
      <c r="CP19" s="79"/>
      <c r="CQ19" s="79"/>
      <c r="CR19" s="79"/>
      <c r="CS19" s="79"/>
      <c r="CT19" s="79"/>
      <c r="CU19" s="79"/>
    </row>
    <row r="20" spans="1:99" s="80" customFormat="1" ht="21.95" customHeight="1">
      <c r="A20" s="441" t="s">
        <v>587</v>
      </c>
      <c r="B20" s="3111">
        <f>'예산세입(화정)'!P29</f>
        <v>116324000</v>
      </c>
      <c r="C20" s="3112">
        <f t="shared" si="6"/>
        <v>1.335242309104623E-2</v>
      </c>
      <c r="D20" s="3111">
        <v>118473000</v>
      </c>
      <c r="E20" s="3112">
        <f t="shared" si="1"/>
        <v>1.1589594926180934E-2</v>
      </c>
      <c r="F20" s="3113">
        <f t="shared" si="7"/>
        <v>-2149000</v>
      </c>
      <c r="G20" s="3114">
        <f t="shared" si="8"/>
        <v>-1.8139154068859572E-2</v>
      </c>
      <c r="H20" s="81"/>
      <c r="I20" s="133" t="s">
        <v>587</v>
      </c>
      <c r="J20" s="167">
        <f>SUMIFS($B$10:$B$105,$A$10:$A$105,"화정청소년카페")</f>
        <v>155824000</v>
      </c>
      <c r="K20" s="167">
        <f>SUMIF($A$10:$A$105,"화정청소년카페",$D$10:$D$105)</f>
        <v>153106000</v>
      </c>
      <c r="L20" s="162">
        <f t="shared" si="4"/>
        <v>2718000</v>
      </c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/>
      <c r="CR20" s="79"/>
      <c r="CS20" s="79"/>
      <c r="CT20" s="79"/>
      <c r="CU20" s="79"/>
    </row>
    <row r="21" spans="1:99" s="80" customFormat="1" ht="21.95" customHeight="1">
      <c r="A21" s="437" t="s">
        <v>499</v>
      </c>
      <c r="B21" s="3115">
        <f>'예산세입(백마)'!O20</f>
        <v>89380000</v>
      </c>
      <c r="C21" s="3091">
        <f t="shared" si="6"/>
        <v>1.025961603691166E-2</v>
      </c>
      <c r="D21" s="3115">
        <v>69415000</v>
      </c>
      <c r="E21" s="3091">
        <f t="shared" si="1"/>
        <v>6.7905069661513551E-3</v>
      </c>
      <c r="F21" s="3116">
        <f t="shared" si="7"/>
        <v>19965000</v>
      </c>
      <c r="G21" s="3093">
        <f t="shared" si="8"/>
        <v>0.28761795001080459</v>
      </c>
      <c r="H21" s="81"/>
      <c r="I21" s="133" t="s">
        <v>499</v>
      </c>
      <c r="J21" s="167">
        <f>SUMIFS($B$10:$B$105,$A$10:$A$105,"백마역청소년카페")</f>
        <v>101394000</v>
      </c>
      <c r="K21" s="167">
        <f>SUMIF($A$10:$A$105,"백마역청소년카페",$D$10:$D$105)</f>
        <v>89509000</v>
      </c>
      <c r="L21" s="162">
        <f t="shared" si="4"/>
        <v>11885000</v>
      </c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79"/>
      <c r="CO21" s="79"/>
      <c r="CP21" s="79"/>
      <c r="CQ21" s="79"/>
      <c r="CR21" s="79"/>
      <c r="CS21" s="79"/>
      <c r="CT21" s="79"/>
      <c r="CU21" s="79"/>
    </row>
    <row r="22" spans="1:99" s="80" customFormat="1" ht="21.95" customHeight="1">
      <c r="A22" s="441" t="s">
        <v>531</v>
      </c>
      <c r="B22" s="3111">
        <f>'예산세입(능곡)'!P18</f>
        <v>88545000</v>
      </c>
      <c r="C22" s="3112">
        <f t="shared" si="6"/>
        <v>1.0163769321865551E-2</v>
      </c>
      <c r="D22" s="3111">
        <v>67370000</v>
      </c>
      <c r="E22" s="3112">
        <f>+D22/$D$7</f>
        <v>6.5904552951036059E-3</v>
      </c>
      <c r="F22" s="3113">
        <f t="shared" si="7"/>
        <v>21175000</v>
      </c>
      <c r="G22" s="3114">
        <f t="shared" si="8"/>
        <v>0.31430903963188361</v>
      </c>
      <c r="H22" s="81"/>
      <c r="I22" s="133" t="s">
        <v>531</v>
      </c>
      <c r="J22" s="167">
        <f>SUMIFS($B$10:$B$105,$A$10:$A$105,"능곡역청소년카페")</f>
        <v>91355000</v>
      </c>
      <c r="K22" s="167">
        <f>SUMIF($A$10:$A$105,"능곡역청소년카페",$D$10:$D$105)</f>
        <v>69780000</v>
      </c>
      <c r="L22" s="162">
        <f t="shared" si="4"/>
        <v>21575000</v>
      </c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</row>
    <row r="23" spans="1:99" s="80" customFormat="1" ht="21.95" customHeight="1">
      <c r="A23" s="283" t="s">
        <v>678</v>
      </c>
      <c r="B23" s="284">
        <f>SUM(B24:B30)</f>
        <v>0</v>
      </c>
      <c r="C23" s="285">
        <f>+B23/$B$7</f>
        <v>0</v>
      </c>
      <c r="D23" s="284">
        <f>SUM(D24:D30)</f>
        <v>1553941000</v>
      </c>
      <c r="E23" s="286">
        <f t="shared" ref="E23" si="9">+D23/$D$7</f>
        <v>0.15201393337878272</v>
      </c>
      <c r="F23" s="287">
        <f>SUM(F24:F30)</f>
        <v>-1553941000</v>
      </c>
      <c r="G23" s="288">
        <f>+F23/D23</f>
        <v>-1</v>
      </c>
      <c r="H23" s="86"/>
      <c r="I23" s="133"/>
      <c r="J23" s="85">
        <f>SUM(J11:J22)</f>
        <v>8711827000</v>
      </c>
      <c r="K23" s="85">
        <f>SUM(K11:K22)</f>
        <v>10222359000</v>
      </c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79"/>
      <c r="CD23" s="79"/>
      <c r="CE23" s="79"/>
      <c r="CF23" s="79"/>
      <c r="CG23" s="79"/>
      <c r="CH23" s="79"/>
      <c r="CI23" s="79"/>
      <c r="CJ23" s="79"/>
      <c r="CK23" s="79"/>
      <c r="CL23" s="79"/>
      <c r="CM23" s="79"/>
      <c r="CN23" s="79"/>
      <c r="CO23" s="79"/>
      <c r="CP23" s="79"/>
      <c r="CQ23" s="79"/>
      <c r="CR23" s="79"/>
      <c r="CS23" s="79"/>
      <c r="CT23" s="79"/>
      <c r="CU23" s="79"/>
    </row>
    <row r="24" spans="1:99" s="80" customFormat="1" ht="21.95" customHeight="1">
      <c r="A24" s="437" t="s">
        <v>572</v>
      </c>
      <c r="B24" s="3109">
        <f>'예산세입(사무국)'!P13</f>
        <v>0</v>
      </c>
      <c r="C24" s="3091">
        <f t="shared" ref="C24:C30" si="10">+B24/$B$7</f>
        <v>0</v>
      </c>
      <c r="D24" s="3106">
        <v>2800000</v>
      </c>
      <c r="E24" s="3091">
        <f>+D24/$D$7</f>
        <v>2.7390937845168614E-4</v>
      </c>
      <c r="F24" s="3107">
        <f>+B24-D24</f>
        <v>-2800000</v>
      </c>
      <c r="G24" s="3093">
        <f>+F24/D24</f>
        <v>-1</v>
      </c>
      <c r="H24" s="81"/>
      <c r="I24" s="85">
        <f>B23+B31+B33</f>
        <v>0</v>
      </c>
      <c r="J24" s="85">
        <f t="shared" ref="J24:L24" si="11">C23+C31+C33</f>
        <v>0</v>
      </c>
      <c r="K24" s="85">
        <f t="shared" si="11"/>
        <v>1603941000</v>
      </c>
      <c r="L24" s="85">
        <f t="shared" si="11"/>
        <v>0.15690517227970568</v>
      </c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  <c r="BZ24" s="79"/>
      <c r="CA24" s="79"/>
      <c r="CB24" s="79"/>
      <c r="CC24" s="79"/>
      <c r="CD24" s="79"/>
      <c r="CE24" s="79"/>
      <c r="CF24" s="79"/>
      <c r="CG24" s="79"/>
      <c r="CH24" s="79"/>
      <c r="CI24" s="79"/>
      <c r="CJ24" s="79"/>
      <c r="CK24" s="79"/>
      <c r="CL24" s="79"/>
      <c r="CM24" s="79"/>
      <c r="CN24" s="79"/>
      <c r="CO24" s="79"/>
      <c r="CP24" s="79"/>
      <c r="CQ24" s="79"/>
      <c r="CR24" s="79"/>
      <c r="CS24" s="79"/>
      <c r="CT24" s="79"/>
      <c r="CU24" s="79"/>
    </row>
    <row r="25" spans="1:99" s="80" customFormat="1" ht="21.95" customHeight="1">
      <c r="A25" s="439" t="s">
        <v>576</v>
      </c>
      <c r="B25" s="3109">
        <f>'예산세입(마두)'!P76</f>
        <v>0</v>
      </c>
      <c r="C25" s="3096">
        <f t="shared" si="10"/>
        <v>0</v>
      </c>
      <c r="D25" s="3109">
        <v>29000000</v>
      </c>
      <c r="E25" s="3096">
        <f t="shared" ref="E25:E30" si="12">+D25/$D$7</f>
        <v>2.8369185625353207E-3</v>
      </c>
      <c r="F25" s="3110">
        <f>+B25-D25</f>
        <v>-29000000</v>
      </c>
      <c r="G25" s="3093">
        <f>+F25/D25</f>
        <v>-1</v>
      </c>
      <c r="H25" s="81"/>
      <c r="I25" s="79"/>
      <c r="J25" s="79"/>
      <c r="K25" s="85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79"/>
      <c r="BU25" s="79"/>
      <c r="BV25" s="79"/>
      <c r="BW25" s="79"/>
      <c r="BX25" s="79"/>
      <c r="BY25" s="79"/>
      <c r="BZ25" s="79"/>
      <c r="CA25" s="79"/>
      <c r="CB25" s="79"/>
      <c r="CC25" s="79"/>
      <c r="CD25" s="79"/>
      <c r="CE25" s="79"/>
      <c r="CF25" s="79"/>
      <c r="CG25" s="79"/>
      <c r="CH25" s="79"/>
      <c r="CI25" s="79"/>
      <c r="CJ25" s="79"/>
      <c r="CK25" s="79"/>
      <c r="CL25" s="79"/>
      <c r="CM25" s="79"/>
      <c r="CN25" s="79"/>
      <c r="CO25" s="79"/>
      <c r="CP25" s="79"/>
      <c r="CQ25" s="79"/>
      <c r="CR25" s="79"/>
      <c r="CS25" s="79"/>
      <c r="CT25" s="79"/>
      <c r="CU25" s="79"/>
    </row>
    <row r="26" spans="1:99" s="80" customFormat="1" ht="21.95" customHeight="1">
      <c r="A26" s="439" t="s">
        <v>586</v>
      </c>
      <c r="B26" s="3109">
        <f>'예산세입(진로)'!P13</f>
        <v>0</v>
      </c>
      <c r="C26" s="3096">
        <f t="shared" si="10"/>
        <v>0</v>
      </c>
      <c r="D26" s="3109">
        <v>286300000</v>
      </c>
      <c r="E26" s="3096">
        <f t="shared" si="12"/>
        <v>2.800723394668491E-2</v>
      </c>
      <c r="F26" s="3110">
        <f>+B26-D26</f>
        <v>-286300000</v>
      </c>
      <c r="G26" s="3093">
        <f t="shared" ref="G26:G30" si="13">+F26/D26</f>
        <v>-1</v>
      </c>
      <c r="H26" s="81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  <c r="CL26" s="79"/>
      <c r="CM26" s="79"/>
      <c r="CN26" s="79"/>
      <c r="CO26" s="79"/>
      <c r="CP26" s="79"/>
      <c r="CQ26" s="79"/>
      <c r="CR26" s="79"/>
      <c r="CS26" s="79"/>
      <c r="CT26" s="79"/>
      <c r="CU26" s="79"/>
    </row>
    <row r="27" spans="1:99" s="80" customFormat="1" ht="21.95" customHeight="1">
      <c r="A27" s="439" t="s">
        <v>577</v>
      </c>
      <c r="B27" s="3109">
        <f>'예산세입(성사)'!P30</f>
        <v>0</v>
      </c>
      <c r="C27" s="3096">
        <f t="shared" si="10"/>
        <v>0</v>
      </c>
      <c r="D27" s="3109">
        <v>229944000</v>
      </c>
      <c r="E27" s="3096">
        <f t="shared" si="12"/>
        <v>2.2494220756676616E-2</v>
      </c>
      <c r="F27" s="3110">
        <f t="shared" ref="F27:F30" si="14">+B27-D27</f>
        <v>-229944000</v>
      </c>
      <c r="G27" s="3093">
        <f t="shared" si="13"/>
        <v>-1</v>
      </c>
      <c r="H27" s="81"/>
      <c r="I27" s="85">
        <f>D23+D31+D33+D35</f>
        <v>1669332000</v>
      </c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  <c r="BM27" s="79"/>
      <c r="BN27" s="79"/>
      <c r="BO27" s="79"/>
      <c r="BP27" s="79"/>
      <c r="BQ27" s="79"/>
      <c r="BR27" s="79"/>
      <c r="BS27" s="79"/>
      <c r="BT27" s="79"/>
      <c r="BU27" s="79"/>
      <c r="BV27" s="79"/>
      <c r="BW27" s="79"/>
      <c r="BX27" s="79"/>
      <c r="BY27" s="79"/>
      <c r="BZ27" s="79"/>
      <c r="CA27" s="79"/>
      <c r="CB27" s="79"/>
      <c r="CC27" s="79"/>
      <c r="CD27" s="79"/>
      <c r="CE27" s="79"/>
      <c r="CF27" s="79"/>
      <c r="CG27" s="79"/>
      <c r="CH27" s="79"/>
      <c r="CI27" s="79"/>
      <c r="CJ27" s="79"/>
      <c r="CK27" s="79"/>
      <c r="CL27" s="79"/>
      <c r="CM27" s="79"/>
      <c r="CN27" s="79"/>
      <c r="CO27" s="79"/>
      <c r="CP27" s="79"/>
      <c r="CQ27" s="79"/>
      <c r="CR27" s="79"/>
      <c r="CS27" s="79"/>
      <c r="CT27" s="79"/>
      <c r="CU27" s="79"/>
    </row>
    <row r="28" spans="1:99" s="80" customFormat="1" ht="21.95" customHeight="1">
      <c r="A28" s="439" t="s">
        <v>582</v>
      </c>
      <c r="B28" s="3109">
        <f>'예산세입(탄현)'!P39</f>
        <v>0</v>
      </c>
      <c r="C28" s="3096">
        <f t="shared" ref="C28" si="15">+B28/$B$7</f>
        <v>0</v>
      </c>
      <c r="D28" s="3109">
        <v>2000000</v>
      </c>
      <c r="E28" s="3117">
        <f t="shared" ref="E28" si="16">+D28/$D$7</f>
        <v>1.9564955603691868E-4</v>
      </c>
      <c r="F28" s="3110">
        <f t="shared" ref="F28" si="17">+B28-D28</f>
        <v>-2000000</v>
      </c>
      <c r="G28" s="3098">
        <f t="shared" si="13"/>
        <v>-1</v>
      </c>
      <c r="H28" s="81"/>
      <c r="I28" s="79"/>
      <c r="J28" s="79"/>
      <c r="K28" s="161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79"/>
      <c r="BN28" s="79"/>
      <c r="BO28" s="79"/>
      <c r="BP28" s="79"/>
      <c r="BQ28" s="79"/>
      <c r="BR28" s="79"/>
      <c r="BS28" s="79"/>
      <c r="BT28" s="79"/>
      <c r="BU28" s="79"/>
      <c r="BV28" s="79"/>
      <c r="BW28" s="79"/>
      <c r="BX28" s="79"/>
      <c r="BY28" s="79"/>
      <c r="BZ28" s="79"/>
      <c r="CA28" s="79"/>
      <c r="CB28" s="79"/>
      <c r="CC28" s="79"/>
      <c r="CD28" s="79"/>
      <c r="CE28" s="79"/>
      <c r="CF28" s="79"/>
      <c r="CG28" s="79"/>
      <c r="CH28" s="79"/>
      <c r="CI28" s="79"/>
      <c r="CJ28" s="79"/>
      <c r="CK28" s="79"/>
      <c r="CL28" s="79"/>
      <c r="CM28" s="79"/>
      <c r="CN28" s="79"/>
      <c r="CO28" s="79"/>
      <c r="CP28" s="79"/>
      <c r="CQ28" s="79"/>
      <c r="CR28" s="79"/>
      <c r="CS28" s="79"/>
      <c r="CT28" s="79"/>
      <c r="CU28" s="79"/>
    </row>
    <row r="29" spans="1:99" s="80" customFormat="1" ht="21.95" customHeight="1">
      <c r="A29" s="439" t="s">
        <v>588</v>
      </c>
      <c r="B29" s="3109">
        <v>0</v>
      </c>
      <c r="C29" s="3096">
        <f t="shared" si="10"/>
        <v>0</v>
      </c>
      <c r="D29" s="3109">
        <v>235394000</v>
      </c>
      <c r="E29" s="3096">
        <f t="shared" si="12"/>
        <v>2.3027365796877218E-2</v>
      </c>
      <c r="F29" s="3110">
        <f t="shared" si="14"/>
        <v>-235394000</v>
      </c>
      <c r="G29" s="3093">
        <f t="shared" si="13"/>
        <v>-1</v>
      </c>
      <c r="H29" s="81"/>
      <c r="I29" s="79"/>
      <c r="J29" s="79"/>
      <c r="K29" s="161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  <c r="CE29" s="79"/>
      <c r="CF29" s="79"/>
      <c r="CG29" s="79"/>
      <c r="CH29" s="79"/>
      <c r="CI29" s="79"/>
      <c r="CJ29" s="79"/>
      <c r="CK29" s="79"/>
      <c r="CL29" s="79"/>
      <c r="CM29" s="79"/>
      <c r="CN29" s="79"/>
      <c r="CO29" s="79"/>
      <c r="CP29" s="79"/>
      <c r="CQ29" s="79"/>
      <c r="CR29" s="79"/>
      <c r="CS29" s="79"/>
      <c r="CT29" s="79"/>
      <c r="CU29" s="79"/>
    </row>
    <row r="30" spans="1:99" s="80" customFormat="1" ht="21.95" customHeight="1">
      <c r="A30" s="439" t="s">
        <v>438</v>
      </c>
      <c r="B30" s="3109">
        <v>0</v>
      </c>
      <c r="C30" s="3096">
        <f t="shared" si="10"/>
        <v>0</v>
      </c>
      <c r="D30" s="3109">
        <v>768503000</v>
      </c>
      <c r="E30" s="3096">
        <f t="shared" si="12"/>
        <v>7.5178635381520059E-2</v>
      </c>
      <c r="F30" s="3110">
        <f t="shared" si="14"/>
        <v>-768503000</v>
      </c>
      <c r="G30" s="3098">
        <f t="shared" si="13"/>
        <v>-1</v>
      </c>
      <c r="H30" s="81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9"/>
      <c r="CD30" s="79"/>
      <c r="CE30" s="79"/>
      <c r="CF30" s="79"/>
      <c r="CG30" s="79"/>
      <c r="CH30" s="79"/>
      <c r="CI30" s="79"/>
      <c r="CJ30" s="79"/>
      <c r="CK30" s="79"/>
      <c r="CL30" s="79"/>
      <c r="CM30" s="79"/>
      <c r="CN30" s="79"/>
      <c r="CO30" s="79"/>
      <c r="CP30" s="79"/>
      <c r="CQ30" s="79"/>
      <c r="CR30" s="79"/>
      <c r="CS30" s="79"/>
      <c r="CT30" s="79"/>
      <c r="CU30" s="79"/>
    </row>
    <row r="31" spans="1:99" s="80" customFormat="1" ht="21.95" customHeight="1">
      <c r="A31" s="283" t="s">
        <v>679</v>
      </c>
      <c r="B31" s="284">
        <f>SUM(B32:B32)</f>
        <v>0</v>
      </c>
      <c r="C31" s="285">
        <f t="shared" si="6"/>
        <v>0</v>
      </c>
      <c r="D31" s="284">
        <f>SUM(D32:D32)</f>
        <v>44000000</v>
      </c>
      <c r="E31" s="286">
        <f t="shared" si="1"/>
        <v>4.304290232812211E-3</v>
      </c>
      <c r="F31" s="287">
        <f>SUM(F32:F32)</f>
        <v>-44000000</v>
      </c>
      <c r="G31" s="288">
        <f>+F31/D31</f>
        <v>-1</v>
      </c>
      <c r="H31" s="86"/>
      <c r="I31" s="82"/>
      <c r="J31" s="82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  <c r="CE31" s="79"/>
      <c r="CF31" s="79"/>
      <c r="CG31" s="79"/>
      <c r="CH31" s="79"/>
      <c r="CI31" s="79"/>
      <c r="CJ31" s="79"/>
      <c r="CK31" s="79"/>
      <c r="CL31" s="79"/>
      <c r="CM31" s="79"/>
      <c r="CN31" s="79"/>
      <c r="CO31" s="79"/>
      <c r="CP31" s="79"/>
      <c r="CQ31" s="79"/>
      <c r="CR31" s="79"/>
      <c r="CS31" s="79"/>
      <c r="CT31" s="79"/>
      <c r="CU31" s="79"/>
    </row>
    <row r="32" spans="1:99" s="80" customFormat="1" ht="21.95" customHeight="1">
      <c r="A32" s="439" t="s">
        <v>578</v>
      </c>
      <c r="B32" s="3108">
        <f>'예산세입(진로)'!P19</f>
        <v>0</v>
      </c>
      <c r="C32" s="3096">
        <f t="shared" si="6"/>
        <v>0</v>
      </c>
      <c r="D32" s="3108">
        <f>'예산세입(진로)'!Q19</f>
        <v>44000000</v>
      </c>
      <c r="E32" s="3096">
        <f t="shared" si="1"/>
        <v>4.304290232812211E-3</v>
      </c>
      <c r="F32" s="3107">
        <f t="shared" ref="F32" si="18">+B32-D32</f>
        <v>-44000000</v>
      </c>
      <c r="G32" s="3093">
        <f>+F32/D32</f>
        <v>-1</v>
      </c>
      <c r="H32" s="81"/>
      <c r="I32" s="82"/>
      <c r="J32" s="82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  <c r="CD32" s="79"/>
      <c r="CE32" s="79"/>
      <c r="CF32" s="79"/>
      <c r="CG32" s="79"/>
      <c r="CH32" s="79"/>
      <c r="CI32" s="79"/>
      <c r="CJ32" s="79"/>
      <c r="CK32" s="79"/>
      <c r="CL32" s="79"/>
      <c r="CM32" s="79"/>
      <c r="CN32" s="79"/>
      <c r="CO32" s="79"/>
      <c r="CP32" s="79"/>
      <c r="CQ32" s="79"/>
      <c r="CR32" s="79"/>
      <c r="CS32" s="79"/>
      <c r="CT32" s="79"/>
      <c r="CU32" s="79"/>
    </row>
    <row r="33" spans="1:99" s="80" customFormat="1" ht="21.95" customHeight="1">
      <c r="A33" s="283" t="s">
        <v>680</v>
      </c>
      <c r="B33" s="284">
        <f>SUM(B34:B34)</f>
        <v>0</v>
      </c>
      <c r="C33" s="285">
        <f t="shared" ref="C33:C52" si="19">+B33/$B$7</f>
        <v>0</v>
      </c>
      <c r="D33" s="284">
        <f>SUM(D34:D34)</f>
        <v>6000000</v>
      </c>
      <c r="E33" s="286">
        <f t="shared" ref="E33:E52" si="20">+D33/$D$7</f>
        <v>5.8694866811075607E-4</v>
      </c>
      <c r="F33" s="287">
        <f>SUM(F34:F34)</f>
        <v>-6000000</v>
      </c>
      <c r="G33" s="288">
        <f t="shared" ref="G33:G51" si="21">+F33/D33</f>
        <v>-1</v>
      </c>
      <c r="H33" s="86"/>
      <c r="I33" s="82"/>
      <c r="J33" s="82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9"/>
      <c r="BY33" s="79"/>
      <c r="BZ33" s="79"/>
      <c r="CA33" s="79"/>
      <c r="CB33" s="79"/>
      <c r="CC33" s="79"/>
      <c r="CD33" s="79"/>
      <c r="CE33" s="79"/>
      <c r="CF33" s="79"/>
      <c r="CG33" s="79"/>
      <c r="CH33" s="79"/>
      <c r="CI33" s="79"/>
      <c r="CJ33" s="79"/>
      <c r="CK33" s="79"/>
      <c r="CL33" s="79"/>
      <c r="CM33" s="79"/>
      <c r="CN33" s="79"/>
      <c r="CO33" s="79"/>
      <c r="CP33" s="79"/>
      <c r="CQ33" s="79"/>
      <c r="CR33" s="79"/>
      <c r="CS33" s="79"/>
      <c r="CT33" s="79"/>
      <c r="CU33" s="79"/>
    </row>
    <row r="34" spans="1:99" s="80" customFormat="1" ht="21.95" customHeight="1">
      <c r="A34" s="437" t="s">
        <v>585</v>
      </c>
      <c r="B34" s="3106">
        <f>'예산세입(토당)'!P85</f>
        <v>0</v>
      </c>
      <c r="C34" s="3091">
        <f t="shared" si="19"/>
        <v>0</v>
      </c>
      <c r="D34" s="3106">
        <f>'예산세입(토당)'!Q85</f>
        <v>6000000</v>
      </c>
      <c r="E34" s="3091">
        <f t="shared" si="20"/>
        <v>5.8694866811075607E-4</v>
      </c>
      <c r="F34" s="3118">
        <f t="shared" ref="F34" si="22">+B34-D34</f>
        <v>-6000000</v>
      </c>
      <c r="G34" s="3093">
        <f t="shared" si="21"/>
        <v>-1</v>
      </c>
      <c r="H34" s="81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  <c r="BY34" s="79"/>
      <c r="BZ34" s="79"/>
      <c r="CA34" s="79"/>
      <c r="CB34" s="79"/>
      <c r="CC34" s="79"/>
      <c r="CD34" s="79"/>
      <c r="CE34" s="79"/>
      <c r="CF34" s="79"/>
      <c r="CG34" s="79"/>
      <c r="CH34" s="79"/>
      <c r="CI34" s="79"/>
      <c r="CJ34" s="79"/>
      <c r="CK34" s="79"/>
      <c r="CL34" s="79"/>
      <c r="CM34" s="79"/>
      <c r="CN34" s="79"/>
      <c r="CO34" s="79"/>
      <c r="CP34" s="79"/>
      <c r="CQ34" s="79"/>
      <c r="CR34" s="79"/>
      <c r="CS34" s="79"/>
      <c r="CT34" s="79"/>
      <c r="CU34" s="79"/>
    </row>
    <row r="35" spans="1:99" s="80" customFormat="1" ht="21.95" customHeight="1">
      <c r="A35" s="283" t="s">
        <v>761</v>
      </c>
      <c r="B35" s="284">
        <f>SUM(B36:B39)</f>
        <v>0</v>
      </c>
      <c r="C35" s="285">
        <f>+B35/$B$7</f>
        <v>0</v>
      </c>
      <c r="D35" s="284">
        <f>SUM(D36:D39)</f>
        <v>65391000</v>
      </c>
      <c r="E35" s="286">
        <f t="shared" si="20"/>
        <v>6.3968600594050745E-3</v>
      </c>
      <c r="F35" s="287">
        <f>SUM(F36:F39)</f>
        <v>-65391000</v>
      </c>
      <c r="G35" s="288">
        <f t="shared" si="21"/>
        <v>-1</v>
      </c>
      <c r="H35" s="81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  <c r="BW35" s="79"/>
      <c r="BX35" s="79"/>
      <c r="BY35" s="79"/>
      <c r="BZ35" s="79"/>
      <c r="CA35" s="79"/>
      <c r="CB35" s="79"/>
      <c r="CC35" s="79"/>
      <c r="CD35" s="79"/>
      <c r="CE35" s="79"/>
      <c r="CF35" s="79"/>
      <c r="CG35" s="79"/>
      <c r="CH35" s="79"/>
      <c r="CI35" s="79"/>
      <c r="CJ35" s="79"/>
      <c r="CK35" s="79"/>
      <c r="CL35" s="79"/>
      <c r="CM35" s="79"/>
      <c r="CN35" s="79"/>
      <c r="CO35" s="79"/>
      <c r="CP35" s="79"/>
      <c r="CQ35" s="79"/>
      <c r="CR35" s="79"/>
      <c r="CS35" s="79"/>
      <c r="CT35" s="79"/>
      <c r="CU35" s="79"/>
    </row>
    <row r="36" spans="1:99" s="80" customFormat="1" ht="21.95" customHeight="1">
      <c r="A36" s="439" t="s">
        <v>582</v>
      </c>
      <c r="B36" s="3109">
        <v>0</v>
      </c>
      <c r="C36" s="3096">
        <f t="shared" ref="C36:C39" si="23">+B36/$B$7</f>
        <v>0</v>
      </c>
      <c r="D36" s="3109">
        <v>20720000</v>
      </c>
      <c r="E36" s="3096">
        <f t="shared" ref="E36:E39" si="24">+D36/$D$7</f>
        <v>2.0269294005424775E-3</v>
      </c>
      <c r="F36" s="3110">
        <f>+B36-D36</f>
        <v>-20720000</v>
      </c>
      <c r="G36" s="3093">
        <f t="shared" si="21"/>
        <v>-1</v>
      </c>
      <c r="H36" s="81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  <c r="CD36" s="79"/>
      <c r="CE36" s="79"/>
      <c r="CF36" s="79"/>
      <c r="CG36" s="79"/>
      <c r="CH36" s="79"/>
      <c r="CI36" s="79"/>
      <c r="CJ36" s="79"/>
      <c r="CK36" s="79"/>
      <c r="CL36" s="79"/>
      <c r="CM36" s="79"/>
      <c r="CN36" s="79"/>
      <c r="CO36" s="79"/>
      <c r="CP36" s="79"/>
      <c r="CQ36" s="79"/>
      <c r="CR36" s="79"/>
      <c r="CS36" s="79"/>
      <c r="CT36" s="79"/>
      <c r="CU36" s="79"/>
    </row>
    <row r="37" spans="1:99" s="80" customFormat="1" ht="21.95" customHeight="1">
      <c r="A37" s="462" t="s">
        <v>584</v>
      </c>
      <c r="B37" s="3535">
        <v>0</v>
      </c>
      <c r="C37" s="3122">
        <f t="shared" si="23"/>
        <v>0</v>
      </c>
      <c r="D37" s="3535">
        <v>37081000</v>
      </c>
      <c r="E37" s="3122">
        <f t="shared" si="24"/>
        <v>3.6274405937024908E-3</v>
      </c>
      <c r="F37" s="3536">
        <f>+B37-D37</f>
        <v>-37081000</v>
      </c>
      <c r="G37" s="3537">
        <f t="shared" si="21"/>
        <v>-1</v>
      </c>
      <c r="H37" s="81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  <c r="CE37" s="79"/>
      <c r="CF37" s="79"/>
      <c r="CG37" s="79"/>
      <c r="CH37" s="79"/>
      <c r="CI37" s="79"/>
      <c r="CJ37" s="79"/>
      <c r="CK37" s="79"/>
      <c r="CL37" s="79"/>
      <c r="CM37" s="79"/>
      <c r="CN37" s="79"/>
      <c r="CO37" s="79"/>
      <c r="CP37" s="79"/>
      <c r="CQ37" s="79"/>
      <c r="CR37" s="79"/>
      <c r="CS37" s="79"/>
      <c r="CT37" s="79"/>
      <c r="CU37" s="79"/>
    </row>
    <row r="38" spans="1:99" s="80" customFormat="1" ht="21.95" customHeight="1">
      <c r="A38" s="439" t="s">
        <v>438</v>
      </c>
      <c r="B38" s="3109">
        <v>0</v>
      </c>
      <c r="C38" s="3096">
        <f t="shared" si="23"/>
        <v>0</v>
      </c>
      <c r="D38" s="3109">
        <v>3510000</v>
      </c>
      <c r="E38" s="3096">
        <f t="shared" si="24"/>
        <v>3.4336497084479228E-4</v>
      </c>
      <c r="F38" s="3110">
        <f t="shared" ref="F38:F39" si="25">+B38-D38</f>
        <v>-3510000</v>
      </c>
      <c r="G38" s="3098">
        <f t="shared" si="21"/>
        <v>-1</v>
      </c>
      <c r="H38" s="81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  <c r="CD38" s="79"/>
      <c r="CE38" s="79"/>
      <c r="CF38" s="79"/>
      <c r="CG38" s="79"/>
      <c r="CH38" s="79"/>
      <c r="CI38" s="79"/>
      <c r="CJ38" s="79"/>
      <c r="CK38" s="79"/>
      <c r="CL38" s="79"/>
      <c r="CM38" s="79"/>
      <c r="CN38" s="79"/>
      <c r="CO38" s="79"/>
      <c r="CP38" s="79"/>
      <c r="CQ38" s="79"/>
      <c r="CR38" s="79"/>
      <c r="CS38" s="79"/>
      <c r="CT38" s="79"/>
      <c r="CU38" s="79"/>
    </row>
    <row r="39" spans="1:99" s="80" customFormat="1" ht="21.95" customHeight="1">
      <c r="A39" s="441" t="s">
        <v>499</v>
      </c>
      <c r="B39" s="3111">
        <v>0</v>
      </c>
      <c r="C39" s="3112">
        <f t="shared" si="23"/>
        <v>0</v>
      </c>
      <c r="D39" s="3111">
        <v>4080000</v>
      </c>
      <c r="E39" s="3112">
        <f t="shared" si="24"/>
        <v>3.9912509431531409E-4</v>
      </c>
      <c r="F39" s="3113">
        <f t="shared" si="25"/>
        <v>-4080000</v>
      </c>
      <c r="G39" s="3114">
        <f t="shared" si="21"/>
        <v>-1</v>
      </c>
      <c r="H39" s="81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  <c r="BW39" s="79"/>
      <c r="BX39" s="79"/>
      <c r="BY39" s="79"/>
      <c r="BZ39" s="79"/>
      <c r="CA39" s="79"/>
      <c r="CB39" s="79"/>
      <c r="CC39" s="79"/>
      <c r="CD39" s="79"/>
      <c r="CE39" s="79"/>
      <c r="CF39" s="79"/>
      <c r="CG39" s="79"/>
      <c r="CH39" s="79"/>
      <c r="CI39" s="79"/>
      <c r="CJ39" s="79"/>
      <c r="CK39" s="79"/>
      <c r="CL39" s="79"/>
      <c r="CM39" s="79"/>
      <c r="CN39" s="79"/>
      <c r="CO39" s="79"/>
      <c r="CP39" s="79"/>
      <c r="CQ39" s="79"/>
      <c r="CR39" s="79"/>
      <c r="CS39" s="79"/>
      <c r="CT39" s="79"/>
      <c r="CU39" s="79"/>
    </row>
    <row r="40" spans="1:99" s="80" customFormat="1" ht="21.95" customHeight="1">
      <c r="A40" s="283" t="s">
        <v>681</v>
      </c>
      <c r="B40" s="284">
        <f>SUM(B41:B52)</f>
        <v>2321000</v>
      </c>
      <c r="C40" s="285">
        <f t="shared" si="19"/>
        <v>2.6641943188265789E-4</v>
      </c>
      <c r="D40" s="284">
        <f>SUM(D41:D52)</f>
        <v>2164000</v>
      </c>
      <c r="E40" s="286">
        <f t="shared" si="20"/>
        <v>2.1169281963194601E-4</v>
      </c>
      <c r="F40" s="287">
        <f>SUM(F41:F52)</f>
        <v>157000</v>
      </c>
      <c r="G40" s="288">
        <f t="shared" si="21"/>
        <v>7.2550831792975973E-2</v>
      </c>
      <c r="H40" s="86"/>
      <c r="I40" s="82"/>
      <c r="J40" s="82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  <c r="BY40" s="79"/>
      <c r="BZ40" s="79"/>
      <c r="CA40" s="79"/>
      <c r="CB40" s="79"/>
      <c r="CC40" s="79"/>
      <c r="CD40" s="79"/>
      <c r="CE40" s="79"/>
      <c r="CF40" s="79"/>
      <c r="CG40" s="79"/>
      <c r="CH40" s="79"/>
      <c r="CI40" s="79"/>
      <c r="CJ40" s="79"/>
      <c r="CK40" s="79"/>
      <c r="CL40" s="79"/>
      <c r="CM40" s="79"/>
      <c r="CN40" s="79"/>
      <c r="CO40" s="79"/>
      <c r="CP40" s="79"/>
      <c r="CQ40" s="79"/>
      <c r="CR40" s="79"/>
      <c r="CS40" s="79"/>
      <c r="CT40" s="79"/>
      <c r="CU40" s="79"/>
    </row>
    <row r="41" spans="1:99" s="80" customFormat="1" ht="21.95" customHeight="1">
      <c r="A41" s="437" t="s">
        <v>574</v>
      </c>
      <c r="B41" s="3106">
        <f>'예산세입(사무국)'!P9</f>
        <v>900000</v>
      </c>
      <c r="C41" s="3091">
        <f t="shared" si="19"/>
        <v>1.0330783657664461E-4</v>
      </c>
      <c r="D41" s="3106">
        <f>'예산세입(사무국)'!Q9</f>
        <v>720000</v>
      </c>
      <c r="E41" s="3091">
        <f t="shared" si="20"/>
        <v>7.0433840173290729E-5</v>
      </c>
      <c r="F41" s="3107">
        <f>+B41-D41</f>
        <v>180000</v>
      </c>
      <c r="G41" s="3093">
        <f t="shared" si="21"/>
        <v>0.25</v>
      </c>
      <c r="H41" s="81"/>
      <c r="I41" s="82"/>
      <c r="J41" s="82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  <c r="BY41" s="79"/>
      <c r="BZ41" s="79"/>
      <c r="CA41" s="79"/>
      <c r="CB41" s="79"/>
      <c r="CC41" s="79"/>
      <c r="CD41" s="79"/>
      <c r="CE41" s="79"/>
      <c r="CF41" s="79"/>
      <c r="CG41" s="79"/>
      <c r="CH41" s="79"/>
      <c r="CI41" s="79"/>
      <c r="CJ41" s="79"/>
      <c r="CK41" s="79"/>
      <c r="CL41" s="79"/>
      <c r="CM41" s="79"/>
      <c r="CN41" s="79"/>
      <c r="CO41" s="79"/>
      <c r="CP41" s="79"/>
      <c r="CQ41" s="79"/>
      <c r="CR41" s="79"/>
      <c r="CS41" s="79"/>
      <c r="CT41" s="79"/>
      <c r="CU41" s="79"/>
    </row>
    <row r="42" spans="1:99" s="80" customFormat="1" ht="21.95" customHeight="1">
      <c r="A42" s="439" t="s">
        <v>576</v>
      </c>
      <c r="B42" s="3108">
        <f>'예산세입(마두)'!P72</f>
        <v>200000</v>
      </c>
      <c r="C42" s="3120">
        <f t="shared" si="19"/>
        <v>2.2957297017032135E-5</v>
      </c>
      <c r="D42" s="3108">
        <f>'예산세입(마두)'!Q72</f>
        <v>200000</v>
      </c>
      <c r="E42" s="3120">
        <f t="shared" si="20"/>
        <v>1.9564955603691867E-5</v>
      </c>
      <c r="F42" s="3107">
        <f>+B42-D42</f>
        <v>0</v>
      </c>
      <c r="G42" s="3093">
        <f t="shared" si="21"/>
        <v>0</v>
      </c>
      <c r="H42" s="81"/>
      <c r="I42" s="82"/>
      <c r="J42" s="82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  <c r="CD42" s="79"/>
      <c r="CE42" s="79"/>
      <c r="CF42" s="79"/>
      <c r="CG42" s="79"/>
      <c r="CH42" s="79"/>
      <c r="CI42" s="79"/>
      <c r="CJ42" s="79"/>
      <c r="CK42" s="79"/>
      <c r="CL42" s="79"/>
      <c r="CM42" s="79"/>
      <c r="CN42" s="79"/>
      <c r="CO42" s="79"/>
      <c r="CP42" s="79"/>
      <c r="CQ42" s="79"/>
      <c r="CR42" s="79"/>
      <c r="CS42" s="79"/>
      <c r="CT42" s="79"/>
      <c r="CU42" s="79"/>
    </row>
    <row r="43" spans="1:99" s="80" customFormat="1" ht="21.95" customHeight="1">
      <c r="A43" s="462" t="s">
        <v>578</v>
      </c>
      <c r="B43" s="3121">
        <f>'예산세입(진로)'!P9</f>
        <v>240000</v>
      </c>
      <c r="C43" s="3122">
        <f t="shared" si="19"/>
        <v>2.7548756420438562E-5</v>
      </c>
      <c r="D43" s="3121">
        <f>'예산세입(진로)'!Q9</f>
        <v>240000</v>
      </c>
      <c r="E43" s="3122">
        <f t="shared" si="20"/>
        <v>2.3477946724430241E-5</v>
      </c>
      <c r="F43" s="3123">
        <f t="shared" ref="F43:F52" si="26">+B43-D43</f>
        <v>0</v>
      </c>
      <c r="G43" s="3124">
        <f t="shared" si="21"/>
        <v>0</v>
      </c>
      <c r="H43" s="81"/>
      <c r="I43" s="82"/>
      <c r="J43" s="82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  <c r="CD43" s="79"/>
      <c r="CE43" s="79"/>
      <c r="CF43" s="79"/>
      <c r="CG43" s="79"/>
      <c r="CH43" s="79"/>
      <c r="CI43" s="79"/>
      <c r="CJ43" s="79"/>
      <c r="CK43" s="79"/>
      <c r="CL43" s="79"/>
      <c r="CM43" s="79"/>
      <c r="CN43" s="79"/>
      <c r="CO43" s="79"/>
      <c r="CP43" s="79"/>
      <c r="CQ43" s="79"/>
      <c r="CR43" s="79"/>
      <c r="CS43" s="79"/>
      <c r="CT43" s="79"/>
      <c r="CU43" s="79"/>
    </row>
    <row r="44" spans="1:99" s="80" customFormat="1" ht="21.95" customHeight="1">
      <c r="A44" s="439" t="s">
        <v>580</v>
      </c>
      <c r="B44" s="3108">
        <f>'예산세입(성사)'!P26</f>
        <v>100000</v>
      </c>
      <c r="C44" s="3096">
        <f t="shared" si="19"/>
        <v>1.1478648508516067E-5</v>
      </c>
      <c r="D44" s="3108">
        <f>'예산세입(성사)'!Q26</f>
        <v>100000</v>
      </c>
      <c r="E44" s="3096">
        <f t="shared" si="20"/>
        <v>9.7824778018459337E-6</v>
      </c>
      <c r="F44" s="3107">
        <f t="shared" si="26"/>
        <v>0</v>
      </c>
      <c r="G44" s="3098">
        <f t="shared" si="21"/>
        <v>0</v>
      </c>
      <c r="H44" s="81"/>
      <c r="I44" s="85"/>
      <c r="J44" s="85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</row>
    <row r="45" spans="1:99" s="80" customFormat="1" ht="21.95" customHeight="1">
      <c r="A45" s="439" t="s">
        <v>582</v>
      </c>
      <c r="B45" s="3108">
        <f>'예산세입(탄현)'!P35</f>
        <v>70000</v>
      </c>
      <c r="C45" s="3096">
        <f t="shared" si="19"/>
        <v>8.0350539559612472E-6</v>
      </c>
      <c r="D45" s="3108">
        <f>'예산세입(탄현)'!Q35</f>
        <v>100000</v>
      </c>
      <c r="E45" s="3096">
        <f t="shared" si="20"/>
        <v>9.7824778018459337E-6</v>
      </c>
      <c r="F45" s="3107">
        <f t="shared" si="26"/>
        <v>-30000</v>
      </c>
      <c r="G45" s="3098">
        <f t="shared" si="21"/>
        <v>-0.3</v>
      </c>
      <c r="H45" s="81"/>
      <c r="I45" s="85"/>
      <c r="J45" s="85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/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</row>
    <row r="46" spans="1:99" s="80" customFormat="1" ht="21.95" customHeight="1">
      <c r="A46" s="439" t="s">
        <v>589</v>
      </c>
      <c r="B46" s="3108">
        <f>'예산세입(주교)'!P13</f>
        <v>10000</v>
      </c>
      <c r="C46" s="3096">
        <f t="shared" si="19"/>
        <v>1.1478648508516067E-6</v>
      </c>
      <c r="D46" s="3108">
        <f>'예산세입(주교)'!Q13</f>
        <v>10000</v>
      </c>
      <c r="E46" s="3096">
        <f t="shared" si="20"/>
        <v>9.7824778018459337E-7</v>
      </c>
      <c r="F46" s="3107">
        <f t="shared" si="26"/>
        <v>0</v>
      </c>
      <c r="G46" s="3098">
        <f t="shared" si="21"/>
        <v>0</v>
      </c>
      <c r="H46" s="81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  <c r="BY46" s="79"/>
      <c r="BZ46" s="79"/>
      <c r="CA46" s="79"/>
      <c r="CB46" s="79"/>
      <c r="CC46" s="79"/>
      <c r="CD46" s="79"/>
      <c r="CE46" s="79"/>
      <c r="CF46" s="79"/>
      <c r="CG46" s="79"/>
      <c r="CH46" s="79"/>
      <c r="CI46" s="79"/>
      <c r="CJ46" s="79"/>
      <c r="CK46" s="79"/>
      <c r="CL46" s="79"/>
      <c r="CM46" s="79"/>
      <c r="CN46" s="79"/>
      <c r="CO46" s="79"/>
      <c r="CP46" s="79"/>
      <c r="CQ46" s="79"/>
      <c r="CR46" s="79"/>
      <c r="CS46" s="79"/>
      <c r="CT46" s="79"/>
      <c r="CU46" s="79"/>
    </row>
    <row r="47" spans="1:99" s="80" customFormat="1" ht="21.95" customHeight="1">
      <c r="A47" s="439" t="s">
        <v>583</v>
      </c>
      <c r="B47" s="3108">
        <f>'예산세입(일산서구)'!P65</f>
        <v>233000</v>
      </c>
      <c r="C47" s="3096">
        <f t="shared" si="19"/>
        <v>2.6745251024842435E-5</v>
      </c>
      <c r="D47" s="3108">
        <f>'예산세입(일산서구)'!Q65</f>
        <v>233000</v>
      </c>
      <c r="E47" s="3096">
        <f t="shared" si="20"/>
        <v>2.2793173278301027E-5</v>
      </c>
      <c r="F47" s="3107">
        <f t="shared" si="26"/>
        <v>0</v>
      </c>
      <c r="G47" s="3093">
        <f t="shared" si="21"/>
        <v>0</v>
      </c>
      <c r="H47" s="81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  <c r="BS47" s="79"/>
      <c r="BT47" s="79"/>
      <c r="BU47" s="79"/>
      <c r="BV47" s="79"/>
      <c r="BW47" s="79"/>
      <c r="BX47" s="79"/>
      <c r="BY47" s="79"/>
      <c r="BZ47" s="79"/>
      <c r="CA47" s="79"/>
      <c r="CB47" s="79"/>
      <c r="CC47" s="79"/>
      <c r="CD47" s="79"/>
      <c r="CE47" s="79"/>
      <c r="CF47" s="79"/>
      <c r="CG47" s="79"/>
      <c r="CH47" s="79"/>
      <c r="CI47" s="79"/>
      <c r="CJ47" s="79"/>
      <c r="CK47" s="79"/>
      <c r="CL47" s="79"/>
      <c r="CM47" s="79"/>
      <c r="CN47" s="79"/>
      <c r="CO47" s="79"/>
      <c r="CP47" s="79"/>
      <c r="CQ47" s="79"/>
      <c r="CR47" s="79"/>
      <c r="CS47" s="79"/>
      <c r="CT47" s="79"/>
      <c r="CU47" s="79"/>
    </row>
    <row r="48" spans="1:99" s="80" customFormat="1" ht="21.95" customHeight="1">
      <c r="A48" s="439" t="s">
        <v>585</v>
      </c>
      <c r="B48" s="3108">
        <f>'예산세입(토당)'!P78</f>
        <v>500000</v>
      </c>
      <c r="C48" s="3096">
        <f t="shared" si="19"/>
        <v>5.739324254258033E-5</v>
      </c>
      <c r="D48" s="3108">
        <f>'예산세입(토당)'!Q78</f>
        <v>500000</v>
      </c>
      <c r="E48" s="3096">
        <f t="shared" si="20"/>
        <v>4.891238900922967E-5</v>
      </c>
      <c r="F48" s="3107">
        <f t="shared" si="26"/>
        <v>0</v>
      </c>
      <c r="G48" s="3093">
        <f t="shared" si="21"/>
        <v>0</v>
      </c>
      <c r="H48" s="81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  <c r="BS48" s="79"/>
      <c r="BT48" s="79"/>
      <c r="BU48" s="79"/>
      <c r="BV48" s="79"/>
      <c r="BW48" s="79"/>
      <c r="BX48" s="79"/>
      <c r="BY48" s="79"/>
      <c r="BZ48" s="79"/>
      <c r="CA48" s="79"/>
      <c r="CB48" s="79"/>
      <c r="CC48" s="79"/>
      <c r="CD48" s="79"/>
      <c r="CE48" s="79"/>
      <c r="CF48" s="79"/>
      <c r="CG48" s="79"/>
      <c r="CH48" s="79"/>
      <c r="CI48" s="79"/>
      <c r="CJ48" s="79"/>
      <c r="CK48" s="79"/>
      <c r="CL48" s="79"/>
      <c r="CM48" s="79"/>
      <c r="CN48" s="79"/>
      <c r="CO48" s="79"/>
      <c r="CP48" s="79"/>
      <c r="CQ48" s="79"/>
      <c r="CR48" s="79"/>
      <c r="CS48" s="79"/>
      <c r="CT48" s="79"/>
      <c r="CU48" s="79"/>
    </row>
    <row r="49" spans="1:99" s="80" customFormat="1" ht="21.95" customHeight="1">
      <c r="A49" s="439" t="s">
        <v>438</v>
      </c>
      <c r="B49" s="3108">
        <f>'예산세입(상담)'!P16</f>
        <v>24000</v>
      </c>
      <c r="C49" s="3096">
        <f t="shared" si="19"/>
        <v>2.754875642043856E-6</v>
      </c>
      <c r="D49" s="3108">
        <f>'예산세입(상담)'!Q16</f>
        <v>24000</v>
      </c>
      <c r="E49" s="3096">
        <f t="shared" si="20"/>
        <v>2.347794672443024E-6</v>
      </c>
      <c r="F49" s="3107">
        <f t="shared" si="26"/>
        <v>0</v>
      </c>
      <c r="G49" s="3093">
        <f t="shared" si="21"/>
        <v>0</v>
      </c>
      <c r="H49" s="81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/>
      <c r="BP49" s="79"/>
      <c r="BQ49" s="79"/>
      <c r="BR49" s="79"/>
      <c r="BS49" s="79"/>
      <c r="BT49" s="79"/>
      <c r="BU49" s="79"/>
      <c r="BV49" s="79"/>
      <c r="BW49" s="79"/>
      <c r="BX49" s="79"/>
      <c r="BY49" s="79"/>
      <c r="BZ49" s="79"/>
      <c r="CA49" s="79"/>
      <c r="CB49" s="79"/>
      <c r="CC49" s="79"/>
      <c r="CD49" s="79"/>
      <c r="CE49" s="79"/>
      <c r="CF49" s="79"/>
      <c r="CG49" s="79"/>
      <c r="CH49" s="79"/>
      <c r="CI49" s="79"/>
      <c r="CJ49" s="79"/>
      <c r="CK49" s="79"/>
      <c r="CL49" s="79"/>
      <c r="CM49" s="79"/>
      <c r="CN49" s="79"/>
      <c r="CO49" s="79"/>
      <c r="CP49" s="79"/>
      <c r="CQ49" s="79"/>
      <c r="CR49" s="79"/>
      <c r="CS49" s="79"/>
      <c r="CT49" s="79"/>
      <c r="CU49" s="79"/>
    </row>
    <row r="50" spans="1:99" s="80" customFormat="1" ht="21.95" customHeight="1">
      <c r="A50" s="439" t="s">
        <v>587</v>
      </c>
      <c r="B50" s="3108">
        <f>'예산세입(화정)'!P25</f>
        <v>20000</v>
      </c>
      <c r="C50" s="3096">
        <f t="shared" si="19"/>
        <v>2.2957297017032135E-6</v>
      </c>
      <c r="D50" s="3108">
        <f>'예산세입(화정)'!Q25</f>
        <v>13000</v>
      </c>
      <c r="E50" s="3096">
        <f t="shared" si="20"/>
        <v>1.2717221142399714E-6</v>
      </c>
      <c r="F50" s="3107">
        <f t="shared" si="26"/>
        <v>7000</v>
      </c>
      <c r="G50" s="3093">
        <f t="shared" si="21"/>
        <v>0.53846153846153844</v>
      </c>
      <c r="H50" s="81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  <c r="BY50" s="79"/>
      <c r="BZ50" s="79"/>
      <c r="CA50" s="79"/>
      <c r="CB50" s="79"/>
      <c r="CC50" s="79"/>
      <c r="CD50" s="79"/>
      <c r="CE50" s="79"/>
      <c r="CF50" s="79"/>
      <c r="CG50" s="79"/>
      <c r="CH50" s="79"/>
      <c r="CI50" s="79"/>
      <c r="CJ50" s="79"/>
      <c r="CK50" s="79"/>
      <c r="CL50" s="79"/>
      <c r="CM50" s="79"/>
      <c r="CN50" s="79"/>
      <c r="CO50" s="79"/>
      <c r="CP50" s="79"/>
      <c r="CQ50" s="79"/>
      <c r="CR50" s="79"/>
      <c r="CS50" s="79"/>
      <c r="CT50" s="79"/>
      <c r="CU50" s="79"/>
    </row>
    <row r="51" spans="1:99" s="80" customFormat="1" ht="21.95" customHeight="1">
      <c r="A51" s="439" t="s">
        <v>499</v>
      </c>
      <c r="B51" s="3108">
        <f>'예산세입(백마)'!P14</f>
        <v>14000</v>
      </c>
      <c r="C51" s="3096">
        <f t="shared" si="19"/>
        <v>1.6070107911922493E-6</v>
      </c>
      <c r="D51" s="3108">
        <f>'예산세입(백마)'!Q14</f>
        <v>14000</v>
      </c>
      <c r="E51" s="3096">
        <f t="shared" si="20"/>
        <v>1.3695468922584308E-6</v>
      </c>
      <c r="F51" s="3107">
        <f t="shared" si="26"/>
        <v>0</v>
      </c>
      <c r="G51" s="3093">
        <f t="shared" si="21"/>
        <v>0</v>
      </c>
      <c r="H51" s="81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  <c r="BY51" s="79"/>
      <c r="BZ51" s="79"/>
      <c r="CA51" s="79"/>
      <c r="CB51" s="79"/>
      <c r="CC51" s="79"/>
      <c r="CD51" s="79"/>
      <c r="CE51" s="79"/>
      <c r="CF51" s="79"/>
      <c r="CG51" s="79"/>
      <c r="CH51" s="79"/>
      <c r="CI51" s="79"/>
      <c r="CJ51" s="79"/>
      <c r="CK51" s="79"/>
      <c r="CL51" s="79"/>
      <c r="CM51" s="79"/>
      <c r="CN51" s="79"/>
      <c r="CO51" s="79"/>
      <c r="CP51" s="79"/>
      <c r="CQ51" s="79"/>
      <c r="CR51" s="79"/>
      <c r="CS51" s="79"/>
      <c r="CT51" s="79"/>
      <c r="CU51" s="79"/>
    </row>
    <row r="52" spans="1:99" s="80" customFormat="1" ht="21.95" customHeight="1">
      <c r="A52" s="462" t="s">
        <v>531</v>
      </c>
      <c r="B52" s="3121">
        <f>'예산세입(능곡)'!P14</f>
        <v>10000</v>
      </c>
      <c r="C52" s="3122">
        <f t="shared" si="19"/>
        <v>1.1478648508516067E-6</v>
      </c>
      <c r="D52" s="3121">
        <f>'예산세입(능곡)'!Q14</f>
        <v>10000</v>
      </c>
      <c r="E52" s="3122">
        <f t="shared" si="20"/>
        <v>9.7824778018459337E-7</v>
      </c>
      <c r="F52" s="3123">
        <f t="shared" si="26"/>
        <v>0</v>
      </c>
      <c r="G52" s="3098">
        <f t="shared" ref="G52" si="27">+F52/D52</f>
        <v>0</v>
      </c>
      <c r="H52" s="81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  <c r="BS52" s="79"/>
      <c r="BT52" s="79"/>
      <c r="BU52" s="79"/>
      <c r="BV52" s="79"/>
      <c r="BW52" s="79"/>
      <c r="BX52" s="79"/>
      <c r="BY52" s="79"/>
      <c r="BZ52" s="79"/>
      <c r="CA52" s="79"/>
      <c r="CB52" s="79"/>
      <c r="CC52" s="79"/>
      <c r="CD52" s="79"/>
      <c r="CE52" s="79"/>
      <c r="CF52" s="79"/>
      <c r="CG52" s="79"/>
      <c r="CH52" s="79"/>
      <c r="CI52" s="79"/>
      <c r="CJ52" s="79"/>
      <c r="CK52" s="79"/>
      <c r="CL52" s="79"/>
      <c r="CM52" s="79"/>
      <c r="CN52" s="79"/>
      <c r="CO52" s="79"/>
      <c r="CP52" s="79"/>
      <c r="CQ52" s="79"/>
      <c r="CR52" s="79"/>
      <c r="CS52" s="79"/>
      <c r="CT52" s="79"/>
      <c r="CU52" s="79"/>
    </row>
    <row r="53" spans="1:99" s="80" customFormat="1" ht="21.95" customHeight="1">
      <c r="A53" s="283" t="s">
        <v>2038</v>
      </c>
      <c r="B53" s="284">
        <f>SUM(B54:B54)</f>
        <v>50000000</v>
      </c>
      <c r="C53" s="285">
        <f t="shared" ref="C53:C54" si="28">+B53/$B$7</f>
        <v>5.7393242542580335E-3</v>
      </c>
      <c r="D53" s="284">
        <f>SUM(D54:D54)</f>
        <v>50000000</v>
      </c>
      <c r="E53" s="286">
        <f t="shared" ref="E53:E54" si="29">+D53/$D$7</f>
        <v>4.8912389009229673E-3</v>
      </c>
      <c r="F53" s="287">
        <f>SUM(F54:F54)</f>
        <v>0</v>
      </c>
      <c r="G53" s="288">
        <f>+F53/D53</f>
        <v>0</v>
      </c>
      <c r="H53" s="86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9"/>
      <c r="BL53" s="79"/>
      <c r="BM53" s="79"/>
      <c r="BN53" s="79"/>
      <c r="BO53" s="79"/>
      <c r="BP53" s="79"/>
      <c r="BQ53" s="79"/>
      <c r="BR53" s="79"/>
      <c r="BS53" s="79"/>
      <c r="BT53" s="79"/>
      <c r="BU53" s="79"/>
      <c r="BV53" s="79"/>
      <c r="BW53" s="79"/>
      <c r="BX53" s="79"/>
      <c r="BY53" s="79"/>
      <c r="BZ53" s="79"/>
      <c r="CA53" s="79"/>
      <c r="CB53" s="79"/>
      <c r="CC53" s="79"/>
      <c r="CD53" s="79"/>
      <c r="CE53" s="79"/>
      <c r="CF53" s="79"/>
      <c r="CG53" s="79"/>
      <c r="CH53" s="79"/>
      <c r="CI53" s="79"/>
      <c r="CJ53" s="79"/>
      <c r="CK53" s="79"/>
      <c r="CL53" s="79"/>
      <c r="CM53" s="79"/>
      <c r="CN53" s="79"/>
      <c r="CO53" s="79"/>
      <c r="CP53" s="79"/>
      <c r="CQ53" s="79"/>
      <c r="CR53" s="79"/>
      <c r="CS53" s="79"/>
      <c r="CT53" s="79"/>
      <c r="CU53" s="79"/>
    </row>
    <row r="54" spans="1:99" s="80" customFormat="1" ht="21.95" customHeight="1">
      <c r="A54" s="447" t="s">
        <v>585</v>
      </c>
      <c r="B54" s="3125">
        <f>'예산세입(토당)'!P87</f>
        <v>50000000</v>
      </c>
      <c r="C54" s="3126">
        <f t="shared" si="28"/>
        <v>5.7393242542580335E-3</v>
      </c>
      <c r="D54" s="3125">
        <f>'예산세입(토당)'!Q87</f>
        <v>50000000</v>
      </c>
      <c r="E54" s="3126">
        <f t="shared" si="29"/>
        <v>4.8912389009229673E-3</v>
      </c>
      <c r="F54" s="3127">
        <f>+B54-D54</f>
        <v>0</v>
      </c>
      <c r="G54" s="3128">
        <f t="shared" ref="G54" si="30">+F54/D54</f>
        <v>0</v>
      </c>
      <c r="H54" s="81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  <c r="CD54" s="79"/>
      <c r="CE54" s="79"/>
      <c r="CF54" s="79"/>
      <c r="CG54" s="79"/>
      <c r="CH54" s="79"/>
      <c r="CI54" s="79"/>
      <c r="CJ54" s="79"/>
      <c r="CK54" s="79"/>
      <c r="CL54" s="79"/>
      <c r="CM54" s="79"/>
      <c r="CN54" s="79"/>
      <c r="CO54" s="79"/>
      <c r="CP54" s="79"/>
      <c r="CQ54" s="79"/>
      <c r="CR54" s="79"/>
      <c r="CS54" s="79"/>
      <c r="CT54" s="79"/>
      <c r="CU54" s="79"/>
    </row>
    <row r="55" spans="1:99" s="80" customFormat="1" ht="21.95" customHeight="1">
      <c r="A55" s="289" t="s">
        <v>705</v>
      </c>
      <c r="B55" s="290">
        <f>SUM(B56:B56)</f>
        <v>400000000</v>
      </c>
      <c r="C55" s="291">
        <f t="shared" si="6"/>
        <v>4.5914594034064268E-2</v>
      </c>
      <c r="D55" s="290">
        <f>SUM(D56:D56)</f>
        <v>543830000</v>
      </c>
      <c r="E55" s="292">
        <f t="shared" si="1"/>
        <v>5.3200049029778741E-2</v>
      </c>
      <c r="F55" s="293">
        <f>SUM(F56:F56)</f>
        <v>-143830000</v>
      </c>
      <c r="G55" s="288">
        <f>+F55/D55</f>
        <v>-0.26447603111266388</v>
      </c>
      <c r="H55" s="86"/>
      <c r="I55" s="79"/>
      <c r="J55" s="85" t="e">
        <f>D56-#REF!</f>
        <v>#REF!</v>
      </c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  <c r="CD55" s="79"/>
      <c r="CE55" s="79"/>
      <c r="CF55" s="79"/>
      <c r="CG55" s="79"/>
      <c r="CH55" s="79"/>
      <c r="CI55" s="79"/>
      <c r="CJ55" s="79"/>
      <c r="CK55" s="79"/>
      <c r="CL55" s="79"/>
      <c r="CM55" s="79"/>
      <c r="CN55" s="79"/>
      <c r="CO55" s="79"/>
      <c r="CP55" s="79"/>
      <c r="CQ55" s="79"/>
      <c r="CR55" s="79"/>
      <c r="CS55" s="79"/>
      <c r="CT55" s="79"/>
      <c r="CU55" s="79"/>
    </row>
    <row r="56" spans="1:99" s="80" customFormat="1" ht="21.95" customHeight="1">
      <c r="A56" s="447" t="s">
        <v>794</v>
      </c>
      <c r="B56" s="3125">
        <f>'예산세입(사무국)'!P25</f>
        <v>400000000</v>
      </c>
      <c r="C56" s="3126">
        <f t="shared" si="6"/>
        <v>4.5914594034064268E-2</v>
      </c>
      <c r="D56" s="3125">
        <v>543830000</v>
      </c>
      <c r="E56" s="3126">
        <f t="shared" si="1"/>
        <v>5.3200049029778741E-2</v>
      </c>
      <c r="F56" s="3127">
        <f>+B56-D56</f>
        <v>-143830000</v>
      </c>
      <c r="G56" s="3128">
        <f t="shared" ref="G56" si="31">+F56/D56</f>
        <v>-0.26447603111266388</v>
      </c>
      <c r="H56" s="81"/>
      <c r="I56" s="85">
        <f>B58+B67+B74</f>
        <v>2209783000</v>
      </c>
      <c r="J56" s="85">
        <f t="shared" ref="J56:K56" si="32">C58+C67+C74</f>
        <v>0.25365322337094159</v>
      </c>
      <c r="K56" s="85">
        <f t="shared" si="32"/>
        <v>1819045000</v>
      </c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</row>
    <row r="57" spans="1:99" s="80" customFormat="1" ht="21.95" customHeight="1">
      <c r="A57" s="294" t="s">
        <v>682</v>
      </c>
      <c r="B57" s="295">
        <f>B58+B67+B74+B81</f>
        <v>2344993000</v>
      </c>
      <c r="C57" s="296">
        <f>+B57/$B$7</f>
        <v>0.26917350401930618</v>
      </c>
      <c r="D57" s="295">
        <f>D58+D67+D74+D81</f>
        <v>1957269000</v>
      </c>
      <c r="E57" s="296">
        <f>+D57/$D$7</f>
        <v>0.19146940544741189</v>
      </c>
      <c r="F57" s="297">
        <f>B57-D57</f>
        <v>387724000</v>
      </c>
      <c r="G57" s="298">
        <f>+F57/D57</f>
        <v>0.19809438559543935</v>
      </c>
      <c r="H57" s="87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/>
      <c r="CO57" s="79"/>
      <c r="CP57" s="79"/>
      <c r="CQ57" s="79"/>
      <c r="CR57" s="79"/>
      <c r="CS57" s="79"/>
      <c r="CT57" s="79"/>
      <c r="CU57" s="79"/>
    </row>
    <row r="58" spans="1:99" s="80" customFormat="1" ht="21.95" customHeight="1">
      <c r="A58" s="278" t="s">
        <v>683</v>
      </c>
      <c r="B58" s="279">
        <f>SUM(B59:B66)</f>
        <v>1912797000</v>
      </c>
      <c r="C58" s="299">
        <f t="shared" si="6"/>
        <v>0.21956324431144006</v>
      </c>
      <c r="D58" s="279">
        <f>SUM(D59:D66)</f>
        <v>1567430000</v>
      </c>
      <c r="E58" s="299">
        <f>+D58/$D$7</f>
        <v>0.15333349180947373</v>
      </c>
      <c r="F58" s="281">
        <f>SUM(F59:F66)</f>
        <v>345367000</v>
      </c>
      <c r="G58" s="300">
        <f>+F58/D58</f>
        <v>0.22033966429122831</v>
      </c>
      <c r="H58" s="88"/>
      <c r="I58" s="79"/>
      <c r="J58" s="79">
        <v>2019</v>
      </c>
      <c r="K58" s="79"/>
      <c r="L58" s="79">
        <v>2018</v>
      </c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  <c r="CE58" s="79"/>
      <c r="CF58" s="79"/>
      <c r="CG58" s="79"/>
      <c r="CH58" s="79"/>
      <c r="CI58" s="79"/>
      <c r="CJ58" s="79"/>
      <c r="CK58" s="79"/>
      <c r="CL58" s="79"/>
      <c r="CM58" s="79"/>
      <c r="CN58" s="79"/>
      <c r="CO58" s="79"/>
      <c r="CP58" s="79"/>
      <c r="CQ58" s="79"/>
      <c r="CR58" s="79"/>
      <c r="CS58" s="79"/>
      <c r="CT58" s="79"/>
      <c r="CU58" s="79"/>
    </row>
    <row r="59" spans="1:99" s="80" customFormat="1" ht="21.95" customHeight="1">
      <c r="A59" s="448" t="s">
        <v>591</v>
      </c>
      <c r="B59" s="3129">
        <f>'예산세입(마두)'!P8</f>
        <v>715450000</v>
      </c>
      <c r="C59" s="3130">
        <f t="shared" si="6"/>
        <v>8.21239907541782E-2</v>
      </c>
      <c r="D59" s="3129">
        <f>'예산세입(마두)'!Q8</f>
        <v>597440000</v>
      </c>
      <c r="E59" s="3130">
        <f t="shared" ref="E59:E86" si="33">+D59/$D$7</f>
        <v>5.8444435379348347E-2</v>
      </c>
      <c r="F59" s="3131">
        <f t="shared" ref="F59:F66" si="34">+B59-D59</f>
        <v>118010000</v>
      </c>
      <c r="G59" s="3132">
        <f t="shared" ref="G59:G80" si="35">+F59/D59</f>
        <v>0.19752611140867701</v>
      </c>
      <c r="H59" s="87"/>
      <c r="I59" s="79" t="s">
        <v>2287</v>
      </c>
      <c r="J59" s="162">
        <f>SUMIFS($B$58:$B$80,$A$58:$A$80,"마두청소년수련관")</f>
        <v>774750000</v>
      </c>
      <c r="K59" s="85"/>
      <c r="L59" s="85">
        <f>SUMIFS($D$58:$D$80,$A$58:$A$80,"마두청소년수련관")</f>
        <v>651940000</v>
      </c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  <c r="CD59" s="79"/>
      <c r="CE59" s="79"/>
      <c r="CF59" s="79"/>
      <c r="CG59" s="79"/>
      <c r="CH59" s="79"/>
      <c r="CI59" s="79"/>
      <c r="CJ59" s="79"/>
      <c r="CK59" s="79"/>
      <c r="CL59" s="79"/>
      <c r="CM59" s="79"/>
      <c r="CN59" s="79"/>
      <c r="CO59" s="79"/>
      <c r="CP59" s="79"/>
      <c r="CQ59" s="79"/>
      <c r="CR59" s="79"/>
      <c r="CS59" s="79"/>
      <c r="CT59" s="79"/>
      <c r="CU59" s="79"/>
    </row>
    <row r="60" spans="1:99" s="80" customFormat="1" ht="21.95" customHeight="1">
      <c r="A60" s="448" t="s">
        <v>592</v>
      </c>
      <c r="B60" s="3129">
        <f>'예산세입(성사)'!P8</f>
        <v>18100000</v>
      </c>
      <c r="C60" s="3130">
        <f t="shared" si="6"/>
        <v>2.0776353800414081E-3</v>
      </c>
      <c r="D60" s="3129">
        <f>'예산세입(성사)'!Q8</f>
        <v>5250000</v>
      </c>
      <c r="E60" s="3133">
        <f t="shared" si="33"/>
        <v>5.1358008459691153E-4</v>
      </c>
      <c r="F60" s="3131">
        <f t="shared" si="34"/>
        <v>12850000</v>
      </c>
      <c r="G60" s="3132">
        <f t="shared" si="35"/>
        <v>2.4476190476190478</v>
      </c>
      <c r="H60" s="87"/>
      <c r="I60" s="79" t="s">
        <v>2289</v>
      </c>
      <c r="J60" s="162">
        <f>SUMIFS($B$58:$B$80,$A$58:$A$80,"성사청소년문화의집")</f>
        <v>20100000</v>
      </c>
      <c r="K60" s="85"/>
      <c r="L60" s="85">
        <f>SUMIFS($D$58:$D$80,$A$58:$A$80,"성사청소년문화의집")</f>
        <v>12690000</v>
      </c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  <c r="BY60" s="79"/>
      <c r="BZ60" s="79"/>
      <c r="CA60" s="79"/>
      <c r="CB60" s="79"/>
      <c r="CC60" s="79"/>
      <c r="CD60" s="79"/>
      <c r="CE60" s="79"/>
      <c r="CF60" s="79"/>
      <c r="CG60" s="79"/>
      <c r="CH60" s="79"/>
      <c r="CI60" s="79"/>
      <c r="CJ60" s="79"/>
      <c r="CK60" s="79"/>
      <c r="CL60" s="79"/>
      <c r="CM60" s="79"/>
      <c r="CN60" s="79"/>
      <c r="CO60" s="79"/>
      <c r="CP60" s="79"/>
      <c r="CQ60" s="79"/>
      <c r="CR60" s="79"/>
      <c r="CS60" s="79"/>
      <c r="CT60" s="79"/>
      <c r="CU60" s="79"/>
    </row>
    <row r="61" spans="1:99" s="80" customFormat="1" ht="21.95" customHeight="1">
      <c r="A61" s="448" t="s">
        <v>312</v>
      </c>
      <c r="B61" s="3129">
        <f>'예산세입(탄현)'!P8</f>
        <v>111120000</v>
      </c>
      <c r="C61" s="3130">
        <f t="shared" si="6"/>
        <v>1.2755074222663053E-2</v>
      </c>
      <c r="D61" s="3129">
        <f>'예산세입(탄현)'!Q8</f>
        <v>100900000</v>
      </c>
      <c r="E61" s="3133">
        <f t="shared" si="33"/>
        <v>9.8705201020625466E-3</v>
      </c>
      <c r="F61" s="3131">
        <f t="shared" si="34"/>
        <v>10220000</v>
      </c>
      <c r="G61" s="3132">
        <f t="shared" si="35"/>
        <v>0.10128840436075322</v>
      </c>
      <c r="H61" s="87"/>
      <c r="I61" s="79" t="s">
        <v>582</v>
      </c>
      <c r="J61" s="162">
        <f>SUMIFS($B$58:$B$80,$A$58:$A$80,"탄현청소년문화의집")</f>
        <v>112400000</v>
      </c>
      <c r="K61" s="85"/>
      <c r="L61" s="85">
        <f>SUMIFS($D$58:$D$80,$A$58:$A$80,"탄현청소년문화의집")</f>
        <v>101860000</v>
      </c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79"/>
      <c r="BP61" s="79"/>
      <c r="BQ61" s="79"/>
      <c r="BR61" s="79"/>
      <c r="BS61" s="79"/>
      <c r="BT61" s="79"/>
      <c r="BU61" s="79"/>
      <c r="BV61" s="79"/>
      <c r="BW61" s="79"/>
      <c r="BX61" s="79"/>
      <c r="BY61" s="79"/>
      <c r="BZ61" s="79"/>
      <c r="CA61" s="79"/>
      <c r="CB61" s="79"/>
      <c r="CC61" s="79"/>
      <c r="CD61" s="79"/>
      <c r="CE61" s="79"/>
      <c r="CF61" s="79"/>
      <c r="CG61" s="79"/>
      <c r="CH61" s="79"/>
      <c r="CI61" s="79"/>
      <c r="CJ61" s="79"/>
      <c r="CK61" s="79"/>
      <c r="CL61" s="79"/>
      <c r="CM61" s="79"/>
      <c r="CN61" s="79"/>
      <c r="CO61" s="79"/>
      <c r="CP61" s="79"/>
      <c r="CQ61" s="79"/>
      <c r="CR61" s="79"/>
      <c r="CS61" s="79"/>
      <c r="CT61" s="79"/>
      <c r="CU61" s="79"/>
    </row>
    <row r="62" spans="1:99" s="80" customFormat="1" ht="21.95" customHeight="1">
      <c r="A62" s="439" t="s">
        <v>589</v>
      </c>
      <c r="B62" s="3129">
        <f>'예산세입(주교)'!P8</f>
        <v>0</v>
      </c>
      <c r="C62" s="3130">
        <f t="shared" si="6"/>
        <v>0</v>
      </c>
      <c r="D62" s="3129">
        <f>'예산세입(주교)'!Q8</f>
        <v>1480000</v>
      </c>
      <c r="E62" s="3130">
        <f t="shared" si="33"/>
        <v>1.4478067146731982E-4</v>
      </c>
      <c r="F62" s="3131">
        <f t="shared" si="34"/>
        <v>-1480000</v>
      </c>
      <c r="G62" s="3132">
        <f t="shared" si="35"/>
        <v>-1</v>
      </c>
      <c r="H62" s="87"/>
      <c r="I62" s="79" t="s">
        <v>584</v>
      </c>
      <c r="J62" s="162">
        <f>SUMIFS($B$58:$B$80,$A$58:$A$80,"주교동청소년카페")</f>
        <v>0</v>
      </c>
      <c r="K62" s="85"/>
      <c r="L62" s="85">
        <f>SUMIFS($D$58:$D$80,$A$58:$A$80,"주교동청소년카페")</f>
        <v>1480000</v>
      </c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79"/>
      <c r="BG62" s="79"/>
      <c r="BH62" s="79"/>
      <c r="BI62" s="79"/>
      <c r="BJ62" s="79"/>
      <c r="BK62" s="79"/>
      <c r="BL62" s="79"/>
      <c r="BM62" s="79"/>
      <c r="BN62" s="79"/>
      <c r="BO62" s="79"/>
      <c r="BP62" s="79"/>
      <c r="BQ62" s="79"/>
      <c r="BR62" s="79"/>
      <c r="BS62" s="79"/>
      <c r="BT62" s="79"/>
      <c r="BU62" s="79"/>
      <c r="BV62" s="79"/>
      <c r="BW62" s="79"/>
      <c r="BX62" s="79"/>
      <c r="BY62" s="79"/>
      <c r="BZ62" s="79"/>
      <c r="CA62" s="79"/>
      <c r="CB62" s="79"/>
      <c r="CC62" s="79"/>
      <c r="CD62" s="79"/>
      <c r="CE62" s="79"/>
      <c r="CF62" s="79"/>
      <c r="CG62" s="79"/>
      <c r="CH62" s="79"/>
      <c r="CI62" s="79"/>
      <c r="CJ62" s="79"/>
      <c r="CK62" s="79"/>
      <c r="CL62" s="79"/>
      <c r="CM62" s="79"/>
      <c r="CN62" s="79"/>
      <c r="CO62" s="79"/>
      <c r="CP62" s="79"/>
      <c r="CQ62" s="79"/>
      <c r="CR62" s="79"/>
      <c r="CS62" s="79"/>
      <c r="CT62" s="79"/>
      <c r="CU62" s="79"/>
    </row>
    <row r="63" spans="1:99" s="80" customFormat="1" ht="21.95" customHeight="1">
      <c r="A63" s="448" t="s">
        <v>583</v>
      </c>
      <c r="B63" s="3129">
        <f>'예산세입(일산서구)'!P8</f>
        <v>376324000</v>
      </c>
      <c r="C63" s="3130">
        <f t="shared" si="6"/>
        <v>4.3196909213188001E-2</v>
      </c>
      <c r="D63" s="3129">
        <f>'예산세입(일산서구)'!Q8</f>
        <v>104400000</v>
      </c>
      <c r="E63" s="3130">
        <f t="shared" si="33"/>
        <v>1.0212906825127155E-2</v>
      </c>
      <c r="F63" s="3131">
        <f t="shared" si="34"/>
        <v>271924000</v>
      </c>
      <c r="G63" s="3132">
        <f t="shared" si="35"/>
        <v>2.6046360153256707</v>
      </c>
      <c r="H63" s="81"/>
      <c r="I63" s="79" t="s">
        <v>2288</v>
      </c>
      <c r="J63" s="162">
        <f>SUMIFS($B$58:$B$80,$A$58:$A$80,"일산서구청소년수련관")</f>
        <v>466692000</v>
      </c>
      <c r="K63" s="85"/>
      <c r="L63" s="85">
        <f>SUMIFS($D$58:$D$80,$A$58:$A$80,"일산서구청소년수련관")</f>
        <v>145053000</v>
      </c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  <c r="AW63" s="79"/>
      <c r="AX63" s="79"/>
      <c r="AY63" s="79"/>
      <c r="AZ63" s="79"/>
      <c r="BA63" s="79"/>
      <c r="BB63" s="79"/>
      <c r="BC63" s="79"/>
      <c r="BD63" s="79"/>
      <c r="BE63" s="79"/>
      <c r="BF63" s="79"/>
      <c r="BG63" s="79"/>
      <c r="BH63" s="79"/>
      <c r="BI63" s="79"/>
      <c r="BJ63" s="79"/>
      <c r="BK63" s="79"/>
      <c r="BL63" s="79"/>
      <c r="BM63" s="79"/>
      <c r="BN63" s="79"/>
      <c r="BO63" s="79"/>
      <c r="BP63" s="79"/>
      <c r="BQ63" s="79"/>
      <c r="BR63" s="79"/>
      <c r="BS63" s="79"/>
      <c r="BT63" s="79"/>
      <c r="BU63" s="79"/>
      <c r="BV63" s="79"/>
      <c r="BW63" s="79"/>
      <c r="BX63" s="79"/>
      <c r="BY63" s="79"/>
      <c r="BZ63" s="79"/>
      <c r="CA63" s="79"/>
      <c r="CB63" s="79"/>
      <c r="CC63" s="79"/>
      <c r="CD63" s="79"/>
      <c r="CE63" s="79"/>
      <c r="CF63" s="79"/>
      <c r="CG63" s="79"/>
      <c r="CH63" s="79"/>
      <c r="CI63" s="79"/>
      <c r="CJ63" s="79"/>
      <c r="CK63" s="79"/>
      <c r="CL63" s="79"/>
      <c r="CM63" s="79"/>
      <c r="CN63" s="79"/>
      <c r="CO63" s="79"/>
      <c r="CP63" s="79"/>
      <c r="CQ63" s="79"/>
      <c r="CR63" s="79"/>
      <c r="CS63" s="79"/>
      <c r="CT63" s="79"/>
      <c r="CU63" s="79"/>
    </row>
    <row r="64" spans="1:99" s="80" customFormat="1" ht="21.95" customHeight="1">
      <c r="A64" s="448" t="s">
        <v>593</v>
      </c>
      <c r="B64" s="3129">
        <f>'예산세입(토당)'!P8</f>
        <v>650000000</v>
      </c>
      <c r="C64" s="3130">
        <f t="shared" si="6"/>
        <v>7.4611215305354431E-2</v>
      </c>
      <c r="D64" s="3129">
        <f>'예산세입(토당)'!Q8</f>
        <v>736180000</v>
      </c>
      <c r="E64" s="3130">
        <f t="shared" si="33"/>
        <v>7.2016645081629402E-2</v>
      </c>
      <c r="F64" s="3131">
        <f t="shared" si="34"/>
        <v>-86180000</v>
      </c>
      <c r="G64" s="3132">
        <f t="shared" si="35"/>
        <v>-0.11706376158004836</v>
      </c>
      <c r="H64" s="87"/>
      <c r="I64" s="79" t="s">
        <v>585</v>
      </c>
      <c r="J64" s="162">
        <f>SUMIFS($B$58:$B$80,$A$58:$A$80,"토당청소년수련관")</f>
        <v>741828000</v>
      </c>
      <c r="K64" s="85"/>
      <c r="L64" s="85">
        <f>SUMIFS($D$58:$D$80,$A$58:$A$80,"토당청소년수련관")</f>
        <v>832842000</v>
      </c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79"/>
      <c r="BD64" s="79"/>
      <c r="BE64" s="79"/>
      <c r="BF64" s="79"/>
      <c r="BG64" s="79"/>
      <c r="BH64" s="79"/>
      <c r="BI64" s="79"/>
      <c r="BJ64" s="79"/>
      <c r="BK64" s="79"/>
      <c r="BL64" s="79"/>
      <c r="BM64" s="79"/>
      <c r="BN64" s="79"/>
      <c r="BO64" s="79"/>
      <c r="BP64" s="79"/>
      <c r="BQ64" s="79"/>
      <c r="BR64" s="79"/>
      <c r="BS64" s="79"/>
      <c r="BT64" s="79"/>
      <c r="BU64" s="79"/>
      <c r="BV64" s="79"/>
      <c r="BW64" s="79"/>
      <c r="BX64" s="79"/>
      <c r="BY64" s="79"/>
      <c r="BZ64" s="79"/>
      <c r="CA64" s="79"/>
      <c r="CB64" s="79"/>
      <c r="CC64" s="79"/>
      <c r="CD64" s="79"/>
      <c r="CE64" s="79"/>
      <c r="CF64" s="79"/>
      <c r="CG64" s="79"/>
      <c r="CH64" s="79"/>
      <c r="CI64" s="79"/>
      <c r="CJ64" s="79"/>
      <c r="CK64" s="79"/>
      <c r="CL64" s="79"/>
      <c r="CM64" s="79"/>
      <c r="CN64" s="79"/>
      <c r="CO64" s="79"/>
      <c r="CP64" s="79"/>
      <c r="CQ64" s="79"/>
      <c r="CR64" s="79"/>
      <c r="CS64" s="79"/>
      <c r="CT64" s="79"/>
      <c r="CU64" s="79"/>
    </row>
    <row r="65" spans="1:99" s="80" customFormat="1" ht="21.95" customHeight="1">
      <c r="A65" s="448" t="s">
        <v>594</v>
      </c>
      <c r="B65" s="3129">
        <f>'예산세입(상담)'!P8</f>
        <v>40483000</v>
      </c>
      <c r="C65" s="3130">
        <f t="shared" si="6"/>
        <v>4.646901275702559E-3</v>
      </c>
      <c r="D65" s="3129">
        <f>'예산세입(상담)'!Q8</f>
        <v>20160000</v>
      </c>
      <c r="E65" s="3130">
        <f t="shared" si="33"/>
        <v>1.9721475248521401E-3</v>
      </c>
      <c r="F65" s="3131">
        <f t="shared" si="34"/>
        <v>20323000</v>
      </c>
      <c r="G65" s="3132">
        <f t="shared" si="35"/>
        <v>1.0080853174603175</v>
      </c>
      <c r="H65" s="87"/>
      <c r="I65" s="79" t="s">
        <v>438</v>
      </c>
      <c r="J65" s="162">
        <f>SUMIFS($B$58:$B$80,$A$58:$A$80,"고양시청소년상담복지센터")</f>
        <v>40483000</v>
      </c>
      <c r="K65" s="85"/>
      <c r="L65" s="85">
        <f>SUMIFS($D$58:$D$80,$A$58:$A$80,"고양시청소년상담복지센터")</f>
        <v>20160000</v>
      </c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/>
      <c r="BF65" s="79"/>
      <c r="BG65" s="79"/>
      <c r="BH65" s="79"/>
      <c r="BI65" s="79"/>
      <c r="BJ65" s="79"/>
      <c r="BK65" s="79"/>
      <c r="BL65" s="79"/>
      <c r="BM65" s="79"/>
      <c r="BN65" s="79"/>
      <c r="BO65" s="79"/>
      <c r="BP65" s="79"/>
      <c r="BQ65" s="79"/>
      <c r="BR65" s="79"/>
      <c r="BS65" s="79"/>
      <c r="BT65" s="79"/>
      <c r="BU65" s="79"/>
      <c r="BV65" s="79"/>
      <c r="BW65" s="79"/>
      <c r="BX65" s="79"/>
      <c r="BY65" s="79"/>
      <c r="BZ65" s="79"/>
      <c r="CA65" s="79"/>
      <c r="CB65" s="79"/>
      <c r="CC65" s="79"/>
      <c r="CD65" s="79"/>
      <c r="CE65" s="79"/>
      <c r="CF65" s="79"/>
      <c r="CG65" s="79"/>
      <c r="CH65" s="79"/>
      <c r="CI65" s="79"/>
      <c r="CJ65" s="79"/>
      <c r="CK65" s="79"/>
      <c r="CL65" s="79"/>
      <c r="CM65" s="79"/>
      <c r="CN65" s="79"/>
      <c r="CO65" s="79"/>
      <c r="CP65" s="79"/>
      <c r="CQ65" s="79"/>
      <c r="CR65" s="79"/>
      <c r="CS65" s="79"/>
      <c r="CT65" s="79"/>
      <c r="CU65" s="79"/>
    </row>
    <row r="66" spans="1:99" s="80" customFormat="1" ht="21.95" customHeight="1">
      <c r="A66" s="448" t="s">
        <v>595</v>
      </c>
      <c r="B66" s="3129">
        <f>'예산세입(화정)'!P8</f>
        <v>1320000</v>
      </c>
      <c r="C66" s="3130">
        <f t="shared" si="6"/>
        <v>1.5151816031241209E-4</v>
      </c>
      <c r="D66" s="3129">
        <f>'예산세입(화정)'!Q8</f>
        <v>1620000</v>
      </c>
      <c r="E66" s="3133">
        <f t="shared" si="33"/>
        <v>1.5847614038990413E-4</v>
      </c>
      <c r="F66" s="3131">
        <f t="shared" si="34"/>
        <v>-300000</v>
      </c>
      <c r="G66" s="3132">
        <f t="shared" si="35"/>
        <v>-0.18518518518518517</v>
      </c>
      <c r="H66" s="87"/>
      <c r="I66" s="79" t="s">
        <v>587</v>
      </c>
      <c r="J66" s="162">
        <f>SUMIFS($B$58:$B$80,$A$58:$A$80,"화정청소년카페")</f>
        <v>39480000</v>
      </c>
      <c r="K66" s="85"/>
      <c r="L66" s="85">
        <f>SUMIFS($D$58:$D$80,$A$58:$A$80,"화정청소년카페")</f>
        <v>34620000</v>
      </c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79"/>
      <c r="BD66" s="79"/>
      <c r="BE66" s="79"/>
      <c r="BF66" s="79"/>
      <c r="BG66" s="79"/>
      <c r="BH66" s="79"/>
      <c r="BI66" s="79"/>
      <c r="BJ66" s="79"/>
      <c r="BK66" s="79"/>
      <c r="BL66" s="79"/>
      <c r="BM66" s="79"/>
      <c r="BN66" s="79"/>
      <c r="BO66" s="79"/>
      <c r="BP66" s="79"/>
      <c r="BQ66" s="79"/>
      <c r="BR66" s="79"/>
      <c r="BS66" s="79"/>
      <c r="BT66" s="79"/>
      <c r="BU66" s="79"/>
      <c r="BV66" s="79"/>
      <c r="BW66" s="79"/>
      <c r="BX66" s="79"/>
      <c r="BY66" s="79"/>
      <c r="BZ66" s="79"/>
      <c r="CA66" s="79"/>
      <c r="CB66" s="79"/>
      <c r="CC66" s="79"/>
      <c r="CD66" s="79"/>
      <c r="CE66" s="79"/>
      <c r="CF66" s="79"/>
      <c r="CG66" s="79"/>
      <c r="CH66" s="79"/>
      <c r="CI66" s="79"/>
      <c r="CJ66" s="79"/>
      <c r="CK66" s="79"/>
      <c r="CL66" s="79"/>
      <c r="CM66" s="79"/>
      <c r="CN66" s="79"/>
      <c r="CO66" s="79"/>
      <c r="CP66" s="79"/>
      <c r="CQ66" s="79"/>
      <c r="CR66" s="79"/>
      <c r="CS66" s="79"/>
      <c r="CT66" s="79"/>
      <c r="CU66" s="79"/>
    </row>
    <row r="67" spans="1:99" s="80" customFormat="1" ht="21.95" customHeight="1">
      <c r="A67" s="278" t="s">
        <v>684</v>
      </c>
      <c r="B67" s="279">
        <f>SUM(B68:B73)</f>
        <v>28332000</v>
      </c>
      <c r="C67" s="280">
        <f t="shared" si="6"/>
        <v>3.2521306954327719E-3</v>
      </c>
      <c r="D67" s="279">
        <f>SUM(D68:D73)</f>
        <v>42498000</v>
      </c>
      <c r="E67" s="299">
        <f t="shared" si="33"/>
        <v>4.1573574162284853E-3</v>
      </c>
      <c r="F67" s="281">
        <f>SUM(F68:F73)</f>
        <v>-14166000</v>
      </c>
      <c r="G67" s="282">
        <f t="shared" si="35"/>
        <v>-0.33333333333333331</v>
      </c>
      <c r="H67" s="8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/>
      <c r="BF67" s="79"/>
      <c r="BG67" s="79"/>
      <c r="BH67" s="79"/>
      <c r="BI67" s="79"/>
      <c r="BJ67" s="79"/>
      <c r="BK67" s="79"/>
      <c r="BL67" s="79"/>
      <c r="BM67" s="79"/>
      <c r="BN67" s="79"/>
      <c r="BO67" s="79"/>
      <c r="BP67" s="79"/>
      <c r="BQ67" s="79"/>
      <c r="BR67" s="79"/>
      <c r="BS67" s="79"/>
      <c r="BT67" s="79"/>
      <c r="BU67" s="79"/>
      <c r="BV67" s="79"/>
      <c r="BW67" s="79"/>
      <c r="BX67" s="79"/>
      <c r="BY67" s="79"/>
      <c r="BZ67" s="79"/>
      <c r="CA67" s="79"/>
      <c r="CB67" s="79"/>
      <c r="CC67" s="79"/>
      <c r="CD67" s="79"/>
      <c r="CE67" s="79"/>
      <c r="CF67" s="79"/>
      <c r="CG67" s="79"/>
      <c r="CH67" s="79"/>
      <c r="CI67" s="79"/>
      <c r="CJ67" s="79"/>
      <c r="CK67" s="79"/>
      <c r="CL67" s="79"/>
      <c r="CM67" s="79"/>
      <c r="CN67" s="79"/>
      <c r="CO67" s="79"/>
      <c r="CP67" s="79"/>
      <c r="CQ67" s="79"/>
      <c r="CR67" s="79"/>
      <c r="CS67" s="79"/>
      <c r="CT67" s="79"/>
      <c r="CU67" s="79"/>
    </row>
    <row r="68" spans="1:99" s="80" customFormat="1" ht="21.95" customHeight="1">
      <c r="A68" s="448" t="s">
        <v>591</v>
      </c>
      <c r="B68" s="3129">
        <f>'예산세입(마두)'!P57</f>
        <v>3500000</v>
      </c>
      <c r="C68" s="3130">
        <f t="shared" si="6"/>
        <v>4.0175269779806235E-4</v>
      </c>
      <c r="D68" s="3129">
        <f>'예산세입(마두)'!Q57</f>
        <v>3500000</v>
      </c>
      <c r="E68" s="3133">
        <f t="shared" si="33"/>
        <v>3.4238672306460767E-4</v>
      </c>
      <c r="F68" s="3131">
        <f t="shared" ref="F68:F73" si="36">+B68-D68</f>
        <v>0</v>
      </c>
      <c r="G68" s="3132">
        <f t="shared" si="35"/>
        <v>0</v>
      </c>
      <c r="H68" s="87"/>
      <c r="I68" s="79"/>
      <c r="J68" s="79"/>
      <c r="K68" s="79"/>
      <c r="L68" s="85">
        <f>L64+L65+L66</f>
        <v>887622000</v>
      </c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9"/>
      <c r="BG68" s="79"/>
      <c r="BH68" s="79"/>
      <c r="BI68" s="79"/>
      <c r="BJ68" s="79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  <c r="CE68" s="79"/>
      <c r="CF68" s="79"/>
      <c r="CG68" s="79"/>
      <c r="CH68" s="79"/>
      <c r="CI68" s="79"/>
      <c r="CJ68" s="79"/>
      <c r="CK68" s="79"/>
      <c r="CL68" s="79"/>
      <c r="CM68" s="79"/>
      <c r="CN68" s="79"/>
      <c r="CO68" s="79"/>
      <c r="CP68" s="79"/>
      <c r="CQ68" s="79"/>
      <c r="CR68" s="79"/>
      <c r="CS68" s="79"/>
      <c r="CT68" s="79"/>
      <c r="CU68" s="79"/>
    </row>
    <row r="69" spans="1:99" s="80" customFormat="1" ht="21.95" customHeight="1">
      <c r="A69" s="448" t="s">
        <v>592</v>
      </c>
      <c r="B69" s="3129">
        <f>'예산세입(성사)'!P20</f>
        <v>2000000</v>
      </c>
      <c r="C69" s="3130">
        <f t="shared" si="6"/>
        <v>2.2957297017032132E-4</v>
      </c>
      <c r="D69" s="3129">
        <f>'예산세입(성사)'!Q20</f>
        <v>7440000</v>
      </c>
      <c r="E69" s="3130">
        <f t="shared" si="33"/>
        <v>7.2781634845733747E-4</v>
      </c>
      <c r="F69" s="3131">
        <f t="shared" si="36"/>
        <v>-5440000</v>
      </c>
      <c r="G69" s="3132">
        <f t="shared" si="35"/>
        <v>-0.73118279569892475</v>
      </c>
      <c r="H69" s="87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/>
      <c r="BF69" s="79"/>
      <c r="BG69" s="79"/>
      <c r="BH69" s="79"/>
      <c r="BI69" s="79"/>
      <c r="BJ69" s="79"/>
      <c r="BK69" s="79"/>
      <c r="BL69" s="79"/>
      <c r="BM69" s="79"/>
      <c r="BN69" s="79"/>
      <c r="BO69" s="79"/>
      <c r="BP69" s="79"/>
      <c r="BQ69" s="79"/>
      <c r="BR69" s="79"/>
      <c r="BS69" s="79"/>
      <c r="BT69" s="79"/>
      <c r="BU69" s="79"/>
      <c r="BV69" s="79"/>
      <c r="BW69" s="79"/>
      <c r="BX69" s="79"/>
      <c r="BY69" s="79"/>
      <c r="BZ69" s="79"/>
      <c r="CA69" s="79"/>
      <c r="CB69" s="79"/>
      <c r="CC69" s="79"/>
      <c r="CD69" s="79"/>
      <c r="CE69" s="79"/>
      <c r="CF69" s="79"/>
      <c r="CG69" s="79"/>
      <c r="CH69" s="79"/>
      <c r="CI69" s="79"/>
      <c r="CJ69" s="79"/>
      <c r="CK69" s="79"/>
      <c r="CL69" s="79"/>
      <c r="CM69" s="79"/>
      <c r="CN69" s="79"/>
      <c r="CO69" s="79"/>
      <c r="CP69" s="79"/>
      <c r="CQ69" s="79"/>
      <c r="CR69" s="79"/>
      <c r="CS69" s="79"/>
      <c r="CT69" s="79"/>
      <c r="CU69" s="79"/>
    </row>
    <row r="70" spans="1:99" s="80" customFormat="1" ht="21.95" customHeight="1">
      <c r="A70" s="448" t="s">
        <v>312</v>
      </c>
      <c r="B70" s="3129">
        <f>'예산세입(탄현)'!P29</f>
        <v>1280000</v>
      </c>
      <c r="C70" s="3130">
        <f t="shared" si="6"/>
        <v>1.4692670090900566E-4</v>
      </c>
      <c r="D70" s="3129">
        <f>'예산세입(탄현)'!Q29</f>
        <v>960000</v>
      </c>
      <c r="E70" s="3130">
        <f t="shared" si="33"/>
        <v>9.3911786897720963E-5</v>
      </c>
      <c r="F70" s="3131">
        <f t="shared" si="36"/>
        <v>320000</v>
      </c>
      <c r="G70" s="3132">
        <f t="shared" si="35"/>
        <v>0.33333333333333331</v>
      </c>
      <c r="H70" s="87"/>
      <c r="I70" s="79"/>
      <c r="J70" s="85">
        <f>D58+D67+D74</f>
        <v>1819045000</v>
      </c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/>
      <c r="BF70" s="79"/>
      <c r="BG70" s="79"/>
      <c r="BH70" s="79"/>
      <c r="BI70" s="79"/>
      <c r="BJ70" s="79"/>
      <c r="BK70" s="79"/>
      <c r="BL70" s="79"/>
      <c r="BM70" s="79"/>
      <c r="BN70" s="79"/>
      <c r="BO70" s="79"/>
      <c r="BP70" s="79"/>
      <c r="BQ70" s="79"/>
      <c r="BR70" s="79"/>
      <c r="BS70" s="79"/>
      <c r="BT70" s="79"/>
      <c r="BU70" s="79"/>
      <c r="BV70" s="79"/>
      <c r="BW70" s="79"/>
      <c r="BX70" s="79"/>
      <c r="BY70" s="79"/>
      <c r="BZ70" s="79"/>
      <c r="CA70" s="79"/>
      <c r="CB70" s="79"/>
      <c r="CC70" s="79"/>
      <c r="CD70" s="79"/>
      <c r="CE70" s="79"/>
      <c r="CF70" s="79"/>
      <c r="CG70" s="79"/>
      <c r="CH70" s="79"/>
      <c r="CI70" s="79"/>
      <c r="CJ70" s="79"/>
      <c r="CK70" s="79"/>
      <c r="CL70" s="79"/>
      <c r="CM70" s="79"/>
      <c r="CN70" s="79"/>
      <c r="CO70" s="79"/>
      <c r="CP70" s="79"/>
      <c r="CQ70" s="79"/>
      <c r="CR70" s="79"/>
      <c r="CS70" s="79"/>
      <c r="CT70" s="79"/>
      <c r="CU70" s="79"/>
    </row>
    <row r="71" spans="1:99" s="80" customFormat="1" ht="21.95" customHeight="1">
      <c r="A71" s="456" t="s">
        <v>583</v>
      </c>
      <c r="B71" s="3143">
        <f>'예산세입(일산서구)'!P52</f>
        <v>1232000</v>
      </c>
      <c r="C71" s="3160">
        <f t="shared" si="6"/>
        <v>1.4141694962491793E-4</v>
      </c>
      <c r="D71" s="3143">
        <f>'예산세입(일산서구)'!Q52</f>
        <v>1800000</v>
      </c>
      <c r="E71" s="3160">
        <f t="shared" si="33"/>
        <v>1.7608460043322681E-4</v>
      </c>
      <c r="F71" s="3538">
        <f t="shared" si="36"/>
        <v>-568000</v>
      </c>
      <c r="G71" s="3163">
        <f t="shared" si="35"/>
        <v>-0.31555555555555553</v>
      </c>
      <c r="H71" s="81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/>
      <c r="BF71" s="79"/>
      <c r="BG71" s="79"/>
      <c r="BH71" s="79"/>
      <c r="BI71" s="79"/>
      <c r="BJ71" s="79"/>
      <c r="BK71" s="79"/>
      <c r="BL71" s="79"/>
      <c r="BM71" s="79"/>
      <c r="BN71" s="79"/>
      <c r="BO71" s="79"/>
      <c r="BP71" s="79"/>
      <c r="BQ71" s="79"/>
      <c r="BR71" s="79"/>
      <c r="BS71" s="79"/>
      <c r="BT71" s="79"/>
      <c r="BU71" s="79"/>
      <c r="BV71" s="79"/>
      <c r="BW71" s="79"/>
      <c r="BX71" s="79"/>
      <c r="BY71" s="79"/>
      <c r="BZ71" s="79"/>
      <c r="CA71" s="79"/>
      <c r="CB71" s="79"/>
      <c r="CC71" s="79"/>
      <c r="CD71" s="79"/>
      <c r="CE71" s="79"/>
      <c r="CF71" s="79"/>
      <c r="CG71" s="79"/>
      <c r="CH71" s="79"/>
      <c r="CI71" s="79"/>
      <c r="CJ71" s="79"/>
      <c r="CK71" s="79"/>
      <c r="CL71" s="79"/>
      <c r="CM71" s="79"/>
      <c r="CN71" s="79"/>
      <c r="CO71" s="79"/>
      <c r="CP71" s="79"/>
      <c r="CQ71" s="79"/>
      <c r="CR71" s="79"/>
      <c r="CS71" s="79"/>
      <c r="CT71" s="79"/>
      <c r="CU71" s="79"/>
    </row>
    <row r="72" spans="1:99" s="80" customFormat="1" ht="21.95" customHeight="1">
      <c r="A72" s="448" t="s">
        <v>593</v>
      </c>
      <c r="B72" s="3129">
        <f>'예산세입(토당)'!P63</f>
        <v>19960000</v>
      </c>
      <c r="C72" s="3130">
        <f t="shared" si="6"/>
        <v>2.2911382422998068E-3</v>
      </c>
      <c r="D72" s="3129">
        <f>'예산세입(토당)'!Q63</f>
        <v>28438000</v>
      </c>
      <c r="E72" s="3130">
        <f t="shared" si="33"/>
        <v>2.7819410372889467E-3</v>
      </c>
      <c r="F72" s="3131">
        <f t="shared" si="36"/>
        <v>-8478000</v>
      </c>
      <c r="G72" s="3132">
        <f t="shared" si="35"/>
        <v>-0.29812223081791966</v>
      </c>
      <c r="H72" s="87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F72" s="79"/>
      <c r="BG72" s="79"/>
      <c r="BH72" s="79"/>
      <c r="BI72" s="79"/>
      <c r="BJ72" s="79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  <c r="CE72" s="79"/>
      <c r="CF72" s="79"/>
      <c r="CG72" s="79"/>
      <c r="CH72" s="79"/>
      <c r="CI72" s="79"/>
      <c r="CJ72" s="79"/>
      <c r="CK72" s="79"/>
      <c r="CL72" s="79"/>
      <c r="CM72" s="79"/>
      <c r="CN72" s="79"/>
      <c r="CO72" s="79"/>
      <c r="CP72" s="79"/>
      <c r="CQ72" s="79"/>
      <c r="CR72" s="79"/>
      <c r="CS72" s="79"/>
      <c r="CT72" s="79"/>
      <c r="CU72" s="79"/>
    </row>
    <row r="73" spans="1:99" s="80" customFormat="1" ht="21.95" customHeight="1">
      <c r="A73" s="457" t="s">
        <v>590</v>
      </c>
      <c r="B73" s="3144">
        <f>'예산세입(화정)'!P15</f>
        <v>360000</v>
      </c>
      <c r="C73" s="3134">
        <f t="shared" si="6"/>
        <v>4.1323134630657843E-5</v>
      </c>
      <c r="D73" s="3144">
        <f>'예산세입(화정)'!Q15</f>
        <v>360000</v>
      </c>
      <c r="E73" s="3539">
        <f t="shared" si="33"/>
        <v>3.5216920086645365E-5</v>
      </c>
      <c r="F73" s="3145">
        <f t="shared" si="36"/>
        <v>0</v>
      </c>
      <c r="G73" s="3135">
        <f t="shared" si="35"/>
        <v>0</v>
      </c>
      <c r="H73" s="87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79"/>
      <c r="BF73" s="79"/>
      <c r="BG73" s="79"/>
      <c r="BH73" s="79"/>
      <c r="BI73" s="79"/>
      <c r="BJ73" s="79"/>
      <c r="BK73" s="79"/>
      <c r="BL73" s="79"/>
      <c r="BM73" s="79"/>
      <c r="BN73" s="79"/>
      <c r="BO73" s="79"/>
      <c r="BP73" s="79"/>
      <c r="BQ73" s="79"/>
      <c r="BR73" s="79"/>
      <c r="BS73" s="79"/>
      <c r="BT73" s="79"/>
      <c r="BU73" s="79"/>
      <c r="BV73" s="79"/>
      <c r="BW73" s="79"/>
      <c r="BX73" s="79"/>
      <c r="BY73" s="79"/>
      <c r="BZ73" s="79"/>
      <c r="CA73" s="79"/>
      <c r="CB73" s="79"/>
      <c r="CC73" s="79"/>
      <c r="CD73" s="79"/>
      <c r="CE73" s="79"/>
      <c r="CF73" s="79"/>
      <c r="CG73" s="79"/>
      <c r="CH73" s="79"/>
      <c r="CI73" s="79"/>
      <c r="CJ73" s="79"/>
      <c r="CK73" s="79"/>
      <c r="CL73" s="79"/>
      <c r="CM73" s="79"/>
      <c r="CN73" s="79"/>
      <c r="CO73" s="79"/>
      <c r="CP73" s="79"/>
      <c r="CQ73" s="79"/>
      <c r="CR73" s="79"/>
      <c r="CS73" s="79"/>
      <c r="CT73" s="79"/>
      <c r="CU73" s="79"/>
    </row>
    <row r="74" spans="1:99" s="80" customFormat="1" ht="21.95" customHeight="1">
      <c r="A74" s="278" t="s">
        <v>685</v>
      </c>
      <c r="B74" s="279">
        <f>SUM(B75:B80)</f>
        <v>268654000</v>
      </c>
      <c r="C74" s="280">
        <f t="shared" si="6"/>
        <v>3.0837848364068755E-2</v>
      </c>
      <c r="D74" s="279">
        <f>SUM(D75:D80)</f>
        <v>209117000</v>
      </c>
      <c r="E74" s="299">
        <f t="shared" si="33"/>
        <v>2.0456824104886161E-2</v>
      </c>
      <c r="F74" s="281">
        <f>SUM(F75:F80)</f>
        <v>59537000</v>
      </c>
      <c r="G74" s="282">
        <f t="shared" si="35"/>
        <v>0.28470664747485858</v>
      </c>
      <c r="H74" s="8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79"/>
      <c r="BD74" s="79"/>
      <c r="BE74" s="79"/>
      <c r="BF74" s="79"/>
      <c r="BG74" s="79"/>
      <c r="BH74" s="79"/>
      <c r="BI74" s="79"/>
      <c r="BJ74" s="79"/>
      <c r="BK74" s="79"/>
      <c r="BL74" s="79"/>
      <c r="BM74" s="79"/>
      <c r="BN74" s="79"/>
      <c r="BO74" s="79"/>
      <c r="BP74" s="79"/>
      <c r="BQ74" s="79"/>
      <c r="BR74" s="79"/>
      <c r="BS74" s="79"/>
      <c r="BT74" s="79"/>
      <c r="BU74" s="79"/>
      <c r="BV74" s="79"/>
      <c r="BW74" s="79"/>
      <c r="BX74" s="79"/>
      <c r="BY74" s="79"/>
      <c r="BZ74" s="79"/>
      <c r="CA74" s="79"/>
      <c r="CB74" s="79"/>
      <c r="CC74" s="79"/>
      <c r="CD74" s="79"/>
      <c r="CE74" s="79"/>
      <c r="CF74" s="79"/>
      <c r="CG74" s="79"/>
      <c r="CH74" s="79"/>
      <c r="CI74" s="79"/>
      <c r="CJ74" s="79"/>
      <c r="CK74" s="79"/>
      <c r="CL74" s="79"/>
      <c r="CM74" s="79"/>
      <c r="CN74" s="79"/>
      <c r="CO74" s="79"/>
      <c r="CP74" s="79"/>
      <c r="CQ74" s="79"/>
      <c r="CR74" s="79"/>
      <c r="CS74" s="79"/>
      <c r="CT74" s="79"/>
      <c r="CU74" s="79"/>
    </row>
    <row r="75" spans="1:99" s="80" customFormat="1" ht="21.95" customHeight="1">
      <c r="A75" s="454" t="s">
        <v>591</v>
      </c>
      <c r="B75" s="3139">
        <f>'예산세입(마두)'!P66</f>
        <v>55800000</v>
      </c>
      <c r="C75" s="3140">
        <f t="shared" si="6"/>
        <v>6.4050858677519654E-3</v>
      </c>
      <c r="D75" s="3139">
        <f>'예산세입(마두)'!Q66</f>
        <v>51000000</v>
      </c>
      <c r="E75" s="3140">
        <f t="shared" si="33"/>
        <v>4.9890636789414267E-3</v>
      </c>
      <c r="F75" s="3141">
        <f t="shared" ref="F75:F80" si="37">+B75-D75</f>
        <v>4800000</v>
      </c>
      <c r="G75" s="3142">
        <f t="shared" si="35"/>
        <v>9.4117647058823528E-2</v>
      </c>
      <c r="H75" s="87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79"/>
      <c r="BE75" s="79"/>
      <c r="BF75" s="79"/>
      <c r="BG75" s="79"/>
      <c r="BH75" s="79"/>
      <c r="BI75" s="79"/>
      <c r="BJ75" s="79"/>
      <c r="BK75" s="79"/>
      <c r="BL75" s="79"/>
      <c r="BM75" s="79"/>
      <c r="BN75" s="79"/>
      <c r="BO75" s="79"/>
      <c r="BP75" s="79"/>
      <c r="BQ75" s="79"/>
      <c r="BR75" s="79"/>
      <c r="BS75" s="79"/>
      <c r="BT75" s="79"/>
      <c r="BU75" s="79"/>
      <c r="BV75" s="79"/>
      <c r="BW75" s="79"/>
      <c r="BX75" s="79"/>
      <c r="BY75" s="79"/>
      <c r="BZ75" s="79"/>
      <c r="CA75" s="79"/>
      <c r="CB75" s="79"/>
      <c r="CC75" s="79"/>
      <c r="CD75" s="79"/>
      <c r="CE75" s="79"/>
      <c r="CF75" s="79"/>
      <c r="CG75" s="79"/>
      <c r="CH75" s="79"/>
      <c r="CI75" s="79"/>
      <c r="CJ75" s="79"/>
      <c r="CK75" s="79"/>
      <c r="CL75" s="79"/>
      <c r="CM75" s="79"/>
      <c r="CN75" s="79"/>
      <c r="CO75" s="79"/>
      <c r="CP75" s="79"/>
      <c r="CQ75" s="79"/>
      <c r="CR75" s="79"/>
      <c r="CS75" s="79"/>
      <c r="CT75" s="79"/>
      <c r="CU75" s="79"/>
    </row>
    <row r="76" spans="1:99" s="80" customFormat="1" ht="21.95" customHeight="1">
      <c r="A76" s="448" t="s">
        <v>583</v>
      </c>
      <c r="B76" s="3129">
        <f>'예산세입(일산서구)'!P59</f>
        <v>89136000</v>
      </c>
      <c r="C76" s="3130">
        <f t="shared" si="6"/>
        <v>1.0231608134550881E-2</v>
      </c>
      <c r="D76" s="3129">
        <f>'예산세입(일산서구)'!Q59</f>
        <v>38853000</v>
      </c>
      <c r="E76" s="3130">
        <f t="shared" si="6"/>
        <v>4.4597993050137473E-3</v>
      </c>
      <c r="F76" s="3131">
        <f t="shared" si="37"/>
        <v>50283000</v>
      </c>
      <c r="G76" s="3138">
        <f t="shared" si="35"/>
        <v>1.2941857771600649</v>
      </c>
      <c r="H76" s="81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/>
      <c r="BF76" s="79"/>
      <c r="BG76" s="79"/>
      <c r="BH76" s="79"/>
      <c r="BI76" s="79"/>
      <c r="BJ76" s="79"/>
      <c r="BK76" s="79"/>
      <c r="BL76" s="79"/>
      <c r="BM76" s="79"/>
      <c r="BN76" s="79"/>
      <c r="BO76" s="79"/>
      <c r="BP76" s="79"/>
      <c r="BQ76" s="79"/>
      <c r="BR76" s="79"/>
      <c r="BS76" s="79"/>
      <c r="BT76" s="79"/>
      <c r="BU76" s="79"/>
      <c r="BV76" s="79"/>
      <c r="BW76" s="79"/>
      <c r="BX76" s="79"/>
      <c r="BY76" s="79"/>
      <c r="BZ76" s="79"/>
      <c r="CA76" s="79"/>
      <c r="CB76" s="79"/>
      <c r="CC76" s="79"/>
      <c r="CD76" s="79"/>
      <c r="CE76" s="79"/>
      <c r="CF76" s="79"/>
      <c r="CG76" s="79"/>
      <c r="CH76" s="79"/>
      <c r="CI76" s="79"/>
      <c r="CJ76" s="79"/>
      <c r="CK76" s="79"/>
      <c r="CL76" s="79"/>
      <c r="CM76" s="79"/>
      <c r="CN76" s="79"/>
      <c r="CO76" s="79"/>
      <c r="CP76" s="79"/>
      <c r="CQ76" s="79"/>
      <c r="CR76" s="79"/>
      <c r="CS76" s="79"/>
      <c r="CT76" s="79"/>
      <c r="CU76" s="79"/>
    </row>
    <row r="77" spans="1:99" s="80" customFormat="1" ht="21.95" customHeight="1">
      <c r="A77" s="453" t="s">
        <v>593</v>
      </c>
      <c r="B77" s="3136">
        <f>'예산세입(토당)'!P68</f>
        <v>71868000</v>
      </c>
      <c r="C77" s="3133">
        <f t="shared" si="6"/>
        <v>8.2494751101003273E-3</v>
      </c>
      <c r="D77" s="3136">
        <f>'예산세입(토당)'!Q68</f>
        <v>68224000</v>
      </c>
      <c r="E77" s="3133">
        <f t="shared" si="33"/>
        <v>6.6739976555313697E-3</v>
      </c>
      <c r="F77" s="3137">
        <f t="shared" si="37"/>
        <v>3644000</v>
      </c>
      <c r="G77" s="3138">
        <f t="shared" si="35"/>
        <v>5.3412288930581614E-2</v>
      </c>
      <c r="H77" s="87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/>
      <c r="BF77" s="79"/>
      <c r="BG77" s="79"/>
      <c r="BH77" s="79"/>
      <c r="BI77" s="79"/>
      <c r="BJ77" s="79"/>
      <c r="BK77" s="79"/>
      <c r="BL77" s="79"/>
      <c r="BM77" s="79"/>
      <c r="BN77" s="79"/>
      <c r="BO77" s="79"/>
      <c r="BP77" s="79"/>
      <c r="BQ77" s="79"/>
      <c r="BR77" s="79"/>
      <c r="BS77" s="79"/>
      <c r="BT77" s="79"/>
      <c r="BU77" s="79"/>
      <c r="BV77" s="79"/>
      <c r="BW77" s="79"/>
      <c r="BX77" s="79"/>
      <c r="BY77" s="79"/>
      <c r="BZ77" s="79"/>
      <c r="CA77" s="79"/>
      <c r="CB77" s="79"/>
      <c r="CC77" s="79"/>
      <c r="CD77" s="79"/>
      <c r="CE77" s="79"/>
      <c r="CF77" s="79"/>
      <c r="CG77" s="79"/>
      <c r="CH77" s="79"/>
      <c r="CI77" s="79"/>
      <c r="CJ77" s="79"/>
      <c r="CK77" s="79"/>
      <c r="CL77" s="79"/>
      <c r="CM77" s="79"/>
      <c r="CN77" s="79"/>
      <c r="CO77" s="79"/>
      <c r="CP77" s="79"/>
      <c r="CQ77" s="79"/>
      <c r="CR77" s="79"/>
      <c r="CS77" s="79"/>
      <c r="CT77" s="79"/>
      <c r="CU77" s="79"/>
    </row>
    <row r="78" spans="1:99" s="80" customFormat="1" ht="21.95" customHeight="1">
      <c r="A78" s="448" t="s">
        <v>590</v>
      </c>
      <c r="B78" s="3129">
        <f>'예산세입(화정)'!P19</f>
        <v>37800000</v>
      </c>
      <c r="C78" s="3130">
        <f t="shared" si="6"/>
        <v>4.3389291362190734E-3</v>
      </c>
      <c r="D78" s="3129">
        <f>'예산세입(화정)'!Q19</f>
        <v>32640000</v>
      </c>
      <c r="E78" s="3133">
        <f t="shared" si="33"/>
        <v>3.1930007545225127E-3</v>
      </c>
      <c r="F78" s="3131">
        <f t="shared" si="37"/>
        <v>5160000</v>
      </c>
      <c r="G78" s="3138">
        <f t="shared" si="35"/>
        <v>0.15808823529411764</v>
      </c>
      <c r="H78" s="87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79"/>
      <c r="BD78" s="79"/>
      <c r="BE78" s="79"/>
      <c r="BF78" s="79"/>
      <c r="BG78" s="79"/>
      <c r="BH78" s="79"/>
      <c r="BI78" s="79"/>
      <c r="BJ78" s="79"/>
      <c r="BK78" s="79"/>
      <c r="BL78" s="79"/>
      <c r="BM78" s="79"/>
      <c r="BN78" s="79"/>
      <c r="BO78" s="79"/>
      <c r="BP78" s="79"/>
      <c r="BQ78" s="79"/>
      <c r="BR78" s="79"/>
      <c r="BS78" s="79"/>
      <c r="BT78" s="79"/>
      <c r="BU78" s="79"/>
      <c r="BV78" s="79"/>
      <c r="BW78" s="79"/>
      <c r="BX78" s="79"/>
      <c r="BY78" s="79"/>
      <c r="BZ78" s="79"/>
      <c r="CA78" s="79"/>
      <c r="CB78" s="79"/>
      <c r="CC78" s="79"/>
      <c r="CD78" s="79"/>
      <c r="CE78" s="79"/>
      <c r="CF78" s="79"/>
      <c r="CG78" s="79"/>
      <c r="CH78" s="79"/>
      <c r="CI78" s="79"/>
      <c r="CJ78" s="79"/>
      <c r="CK78" s="79"/>
      <c r="CL78" s="79"/>
      <c r="CM78" s="79"/>
      <c r="CN78" s="79"/>
      <c r="CO78" s="79"/>
      <c r="CP78" s="79"/>
      <c r="CQ78" s="79"/>
      <c r="CR78" s="79"/>
      <c r="CS78" s="79"/>
      <c r="CT78" s="79"/>
      <c r="CU78" s="79"/>
    </row>
    <row r="79" spans="1:99" s="80" customFormat="1" ht="21.95" customHeight="1">
      <c r="A79" s="448" t="s">
        <v>499</v>
      </c>
      <c r="B79" s="3129">
        <f>'예산세입(백마)'!P8</f>
        <v>11250000</v>
      </c>
      <c r="C79" s="3130">
        <f t="shared" si="6"/>
        <v>1.2913479572080576E-3</v>
      </c>
      <c r="D79" s="3129">
        <f>'예산세입(백마)'!Q9</f>
        <v>16000000</v>
      </c>
      <c r="E79" s="3133">
        <f t="shared" si="33"/>
        <v>1.5651964482953494E-3</v>
      </c>
      <c r="F79" s="3131">
        <f t="shared" si="37"/>
        <v>-4750000</v>
      </c>
      <c r="G79" s="3138">
        <f t="shared" si="35"/>
        <v>-0.296875</v>
      </c>
      <c r="H79" s="87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79"/>
      <c r="BD79" s="79"/>
      <c r="BE79" s="79"/>
      <c r="BF79" s="79"/>
      <c r="BG79" s="79"/>
      <c r="BH79" s="79"/>
      <c r="BI79" s="79"/>
      <c r="BJ79" s="79"/>
      <c r="BK79" s="79"/>
      <c r="BL79" s="79"/>
      <c r="BM79" s="79"/>
      <c r="BN79" s="79"/>
      <c r="BO79" s="79"/>
      <c r="BP79" s="79"/>
      <c r="BQ79" s="79"/>
      <c r="BR79" s="79"/>
      <c r="BS79" s="79"/>
      <c r="BT79" s="79"/>
      <c r="BU79" s="79"/>
      <c r="BV79" s="79"/>
      <c r="BW79" s="79"/>
      <c r="BX79" s="79"/>
      <c r="BY79" s="79"/>
      <c r="BZ79" s="79"/>
      <c r="CA79" s="79"/>
      <c r="CB79" s="79"/>
      <c r="CC79" s="79"/>
      <c r="CD79" s="79"/>
      <c r="CE79" s="79"/>
      <c r="CF79" s="79"/>
      <c r="CG79" s="79"/>
      <c r="CH79" s="79"/>
      <c r="CI79" s="79"/>
      <c r="CJ79" s="79"/>
      <c r="CK79" s="79"/>
      <c r="CL79" s="79"/>
      <c r="CM79" s="79"/>
      <c r="CN79" s="79"/>
      <c r="CO79" s="79"/>
      <c r="CP79" s="79"/>
      <c r="CQ79" s="79"/>
      <c r="CR79" s="79"/>
      <c r="CS79" s="79"/>
      <c r="CT79" s="79"/>
      <c r="CU79" s="79"/>
    </row>
    <row r="80" spans="1:99" s="80" customFormat="1" ht="21.95" customHeight="1">
      <c r="A80" s="456" t="s">
        <v>531</v>
      </c>
      <c r="B80" s="3143">
        <f>'예산세입(능곡)'!P9</f>
        <v>2800000</v>
      </c>
      <c r="C80" s="3130">
        <f t="shared" si="6"/>
        <v>3.2140215823844989E-4</v>
      </c>
      <c r="D80" s="3143">
        <f>'예산세입(능곡)'!Q8</f>
        <v>2400000</v>
      </c>
      <c r="E80" s="3133">
        <f t="shared" si="33"/>
        <v>2.3477946724430242E-4</v>
      </c>
      <c r="F80" s="3131">
        <f t="shared" si="37"/>
        <v>400000</v>
      </c>
      <c r="G80" s="3138">
        <f t="shared" si="35"/>
        <v>0.16666666666666666</v>
      </c>
      <c r="H80" s="81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N80" s="79"/>
      <c r="AO80" s="79"/>
      <c r="AP80" s="79"/>
      <c r="AQ80" s="79"/>
      <c r="AR80" s="79"/>
      <c r="AS80" s="79"/>
      <c r="AT80" s="79"/>
      <c r="AU80" s="79"/>
      <c r="AV80" s="79"/>
      <c r="AW80" s="79"/>
      <c r="AX80" s="79"/>
      <c r="AY80" s="79"/>
      <c r="AZ80" s="79"/>
      <c r="BA80" s="79"/>
      <c r="BB80" s="79"/>
      <c r="BC80" s="79"/>
      <c r="BD80" s="79"/>
      <c r="BE80" s="79"/>
      <c r="BF80" s="79"/>
      <c r="BG80" s="79"/>
      <c r="BH80" s="79"/>
      <c r="BI80" s="79"/>
      <c r="BJ80" s="79"/>
      <c r="BK80" s="79"/>
      <c r="BL80" s="79"/>
      <c r="BM80" s="79"/>
      <c r="BN80" s="79"/>
      <c r="BO80" s="79"/>
      <c r="BP80" s="79"/>
      <c r="BQ80" s="79"/>
      <c r="BR80" s="79"/>
      <c r="BS80" s="79"/>
      <c r="BT80" s="79"/>
      <c r="BU80" s="79"/>
      <c r="BV80" s="79"/>
      <c r="BW80" s="79"/>
      <c r="BX80" s="79"/>
      <c r="BY80" s="79"/>
      <c r="BZ80" s="79"/>
      <c r="CA80" s="79"/>
      <c r="CB80" s="79"/>
      <c r="CC80" s="79"/>
      <c r="CD80" s="79"/>
      <c r="CE80" s="79"/>
      <c r="CF80" s="79"/>
      <c r="CG80" s="79"/>
      <c r="CH80" s="79"/>
      <c r="CI80" s="79"/>
      <c r="CJ80" s="79"/>
      <c r="CK80" s="79"/>
      <c r="CL80" s="79"/>
      <c r="CM80" s="79"/>
      <c r="CN80" s="79"/>
      <c r="CO80" s="79"/>
      <c r="CP80" s="79"/>
      <c r="CQ80" s="79"/>
      <c r="CR80" s="79"/>
      <c r="CS80" s="79"/>
      <c r="CT80" s="79"/>
      <c r="CU80" s="79"/>
    </row>
    <row r="81" spans="1:99" s="80" customFormat="1" ht="21.95" customHeight="1">
      <c r="A81" s="278" t="s">
        <v>686</v>
      </c>
      <c r="B81" s="279">
        <f>SUM(B82:B90)</f>
        <v>135210000</v>
      </c>
      <c r="C81" s="280">
        <f t="shared" ref="C81:C90" si="38">+B81/$B$7</f>
        <v>1.5520280648364573E-2</v>
      </c>
      <c r="D81" s="279">
        <f>SUM(D82:D90)</f>
        <v>138224000</v>
      </c>
      <c r="E81" s="299">
        <f t="shared" si="33"/>
        <v>1.3521732116823525E-2</v>
      </c>
      <c r="F81" s="281">
        <f>SUM(F82:F86)</f>
        <v>-61834000</v>
      </c>
      <c r="G81" s="282">
        <f t="shared" ref="G81:G82" si="39">+F81/D81</f>
        <v>-0.44734633638152566</v>
      </c>
      <c r="H81" s="8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79"/>
      <c r="AT81" s="79"/>
      <c r="AU81" s="79"/>
      <c r="AV81" s="79"/>
      <c r="AW81" s="79"/>
      <c r="AX81" s="79"/>
      <c r="AY81" s="79"/>
      <c r="AZ81" s="79"/>
      <c r="BA81" s="79"/>
      <c r="BB81" s="79"/>
      <c r="BC81" s="79"/>
      <c r="BD81" s="79"/>
      <c r="BE81" s="79"/>
      <c r="BF81" s="79"/>
      <c r="BG81" s="79"/>
      <c r="BH81" s="79"/>
      <c r="BI81" s="79"/>
      <c r="BJ81" s="79"/>
      <c r="BK81" s="79"/>
      <c r="BL81" s="79"/>
      <c r="BM81" s="79"/>
      <c r="BN81" s="79"/>
      <c r="BO81" s="79"/>
      <c r="BP81" s="79"/>
      <c r="BQ81" s="79"/>
      <c r="BR81" s="79"/>
      <c r="BS81" s="79"/>
      <c r="BT81" s="79"/>
      <c r="BU81" s="79"/>
      <c r="BV81" s="79"/>
      <c r="BW81" s="79"/>
      <c r="BX81" s="79"/>
      <c r="BY81" s="79"/>
      <c r="BZ81" s="79"/>
      <c r="CA81" s="79"/>
      <c r="CB81" s="79"/>
      <c r="CC81" s="79"/>
      <c r="CD81" s="79"/>
      <c r="CE81" s="79"/>
      <c r="CF81" s="79"/>
      <c r="CG81" s="79"/>
      <c r="CH81" s="79"/>
      <c r="CI81" s="79"/>
      <c r="CJ81" s="79"/>
      <c r="CK81" s="79"/>
      <c r="CL81" s="79"/>
      <c r="CM81" s="79"/>
      <c r="CN81" s="79"/>
      <c r="CO81" s="79"/>
      <c r="CP81" s="79"/>
      <c r="CQ81" s="79"/>
      <c r="CR81" s="79"/>
      <c r="CS81" s="79"/>
      <c r="CT81" s="79"/>
      <c r="CU81" s="79"/>
    </row>
    <row r="82" spans="1:99" s="80" customFormat="1" ht="21.95" customHeight="1">
      <c r="A82" s="454" t="s">
        <v>591</v>
      </c>
      <c r="B82" s="3139">
        <f>'예산세입(마두)'!P93</f>
        <v>50000000</v>
      </c>
      <c r="C82" s="3140">
        <f t="shared" si="38"/>
        <v>5.7393242542580335E-3</v>
      </c>
      <c r="D82" s="3139">
        <f>'예산세입(마두)'!Q93</f>
        <v>102724000</v>
      </c>
      <c r="E82" s="3140">
        <f t="shared" si="33"/>
        <v>1.0048952497168218E-2</v>
      </c>
      <c r="F82" s="3141">
        <f t="shared" ref="F82:F86" si="40">+B82-D82</f>
        <v>-52724000</v>
      </c>
      <c r="G82" s="3142">
        <f t="shared" si="39"/>
        <v>-0.51325882948483315</v>
      </c>
      <c r="H82" s="87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/>
      <c r="BE82" s="79"/>
      <c r="BF82" s="79"/>
      <c r="BG82" s="79"/>
      <c r="BH82" s="79"/>
      <c r="BI82" s="79"/>
      <c r="BJ82" s="79"/>
      <c r="BK82" s="79"/>
      <c r="BL82" s="79"/>
      <c r="BM82" s="79"/>
      <c r="BN82" s="79"/>
      <c r="BO82" s="79"/>
      <c r="BP82" s="79"/>
      <c r="BQ82" s="79"/>
      <c r="BR82" s="79"/>
      <c r="BS82" s="79"/>
      <c r="BT82" s="79"/>
      <c r="BU82" s="79"/>
      <c r="BV82" s="79"/>
      <c r="BW82" s="79"/>
      <c r="BX82" s="79"/>
      <c r="BY82" s="79"/>
      <c r="BZ82" s="79"/>
      <c r="CA82" s="79"/>
      <c r="CB82" s="79"/>
      <c r="CC82" s="79"/>
      <c r="CD82" s="79"/>
      <c r="CE82" s="79"/>
      <c r="CF82" s="79"/>
      <c r="CG82" s="79"/>
      <c r="CH82" s="79"/>
      <c r="CI82" s="79"/>
      <c r="CJ82" s="79"/>
      <c r="CK82" s="79"/>
      <c r="CL82" s="79"/>
      <c r="CM82" s="79"/>
      <c r="CN82" s="79"/>
      <c r="CO82" s="79"/>
      <c r="CP82" s="79"/>
      <c r="CQ82" s="79"/>
      <c r="CR82" s="79"/>
      <c r="CS82" s="79"/>
      <c r="CT82" s="79"/>
      <c r="CU82" s="79"/>
    </row>
    <row r="83" spans="1:99" s="80" customFormat="1" ht="21.95" customHeight="1">
      <c r="A83" s="448" t="s">
        <v>578</v>
      </c>
      <c r="B83" s="3129">
        <f>'예산세입(진로)'!P33</f>
        <v>0</v>
      </c>
      <c r="C83" s="3130">
        <f t="shared" si="38"/>
        <v>0</v>
      </c>
      <c r="D83" s="3129">
        <f>'예산세입(진로)'!Q33</f>
        <v>1316000</v>
      </c>
      <c r="E83" s="3130">
        <f t="shared" ref="E83" si="41">+D83/$D$7</f>
        <v>1.287374078722925E-4</v>
      </c>
      <c r="F83" s="3131">
        <f t="shared" ref="F83" si="42">+B83-D83</f>
        <v>-1316000</v>
      </c>
      <c r="G83" s="3098">
        <f>+F83/D83</f>
        <v>-1</v>
      </c>
      <c r="H83" s="87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79"/>
      <c r="BI83" s="79"/>
      <c r="BJ83" s="79"/>
      <c r="BK83" s="79"/>
      <c r="BL83" s="79"/>
      <c r="BM83" s="79"/>
      <c r="BN83" s="79"/>
      <c r="BO83" s="79"/>
      <c r="BP83" s="79"/>
      <c r="BQ83" s="79"/>
      <c r="BR83" s="79"/>
      <c r="BS83" s="79"/>
      <c r="BT83" s="79"/>
      <c r="BU83" s="79"/>
      <c r="BV83" s="79"/>
      <c r="BW83" s="79"/>
      <c r="BX83" s="79"/>
      <c r="BY83" s="79"/>
      <c r="BZ83" s="79"/>
      <c r="CA83" s="79"/>
      <c r="CB83" s="79"/>
      <c r="CC83" s="79"/>
      <c r="CD83" s="79"/>
      <c r="CE83" s="79"/>
      <c r="CF83" s="79"/>
      <c r="CG83" s="79"/>
      <c r="CH83" s="79"/>
      <c r="CI83" s="79"/>
      <c r="CJ83" s="79"/>
      <c r="CK83" s="79"/>
      <c r="CL83" s="79"/>
      <c r="CM83" s="79"/>
      <c r="CN83" s="79"/>
      <c r="CO83" s="79"/>
      <c r="CP83" s="79"/>
      <c r="CQ83" s="79"/>
      <c r="CR83" s="79"/>
      <c r="CS83" s="79"/>
      <c r="CT83" s="79"/>
      <c r="CU83" s="79"/>
    </row>
    <row r="84" spans="1:99" s="80" customFormat="1" ht="21.95" customHeight="1">
      <c r="A84" s="453" t="s">
        <v>592</v>
      </c>
      <c r="B84" s="3136">
        <f>'예산세입(성사)'!P38</f>
        <v>11030000</v>
      </c>
      <c r="C84" s="3133">
        <f t="shared" si="38"/>
        <v>1.2660949304893223E-3</v>
      </c>
      <c r="D84" s="3136">
        <f>'예산세입(성사)'!Q38</f>
        <v>13638000</v>
      </c>
      <c r="E84" s="3133">
        <f t="shared" si="33"/>
        <v>1.3341343226157484E-3</v>
      </c>
      <c r="F84" s="3137">
        <f t="shared" si="40"/>
        <v>-2608000</v>
      </c>
      <c r="G84" s="3093">
        <f t="shared" ref="G84:G86" si="43">+F84/D84</f>
        <v>-0.19123038568705089</v>
      </c>
      <c r="H84" s="87"/>
      <c r="I84" s="85">
        <f>B7-B40</f>
        <v>8709506000</v>
      </c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79"/>
      <c r="AU84" s="79"/>
      <c r="AV84" s="79"/>
      <c r="AW84" s="79"/>
      <c r="AX84" s="79"/>
      <c r="AY84" s="79"/>
      <c r="AZ84" s="79"/>
      <c r="BA84" s="79"/>
      <c r="BB84" s="79"/>
      <c r="BC84" s="79"/>
      <c r="BD84" s="79"/>
      <c r="BE84" s="79"/>
      <c r="BF84" s="79"/>
      <c r="BG84" s="79"/>
      <c r="BH84" s="79"/>
      <c r="BI84" s="79"/>
      <c r="BJ84" s="79"/>
      <c r="BK84" s="79"/>
      <c r="BL84" s="79"/>
      <c r="BM84" s="79"/>
      <c r="BN84" s="79"/>
      <c r="BO84" s="79"/>
      <c r="BP84" s="79"/>
      <c r="BQ84" s="79"/>
      <c r="BR84" s="79"/>
      <c r="BS84" s="79"/>
      <c r="BT84" s="79"/>
      <c r="BU84" s="79"/>
      <c r="BV84" s="79"/>
      <c r="BW84" s="79"/>
      <c r="BX84" s="79"/>
      <c r="BY84" s="79"/>
      <c r="BZ84" s="79"/>
      <c r="CA84" s="79"/>
      <c r="CB84" s="79"/>
      <c r="CC84" s="79"/>
      <c r="CD84" s="79"/>
      <c r="CE84" s="79"/>
      <c r="CF84" s="79"/>
      <c r="CG84" s="79"/>
      <c r="CH84" s="79"/>
      <c r="CI84" s="79"/>
      <c r="CJ84" s="79"/>
      <c r="CK84" s="79"/>
      <c r="CL84" s="79"/>
      <c r="CM84" s="79"/>
      <c r="CN84" s="79"/>
      <c r="CO84" s="79"/>
      <c r="CP84" s="79"/>
      <c r="CQ84" s="79"/>
      <c r="CR84" s="79"/>
      <c r="CS84" s="79"/>
      <c r="CT84" s="79"/>
      <c r="CU84" s="79"/>
    </row>
    <row r="85" spans="1:99" s="80" customFormat="1" ht="21.95" customHeight="1">
      <c r="A85" s="448" t="s">
        <v>312</v>
      </c>
      <c r="B85" s="3129">
        <f>'예산세입(탄현)'!P52</f>
        <v>15360000</v>
      </c>
      <c r="C85" s="3130">
        <f t="shared" si="38"/>
        <v>1.763120410908068E-3</v>
      </c>
      <c r="D85" s="3129">
        <f>'예산세입(탄현)'!Q52</f>
        <v>18064000</v>
      </c>
      <c r="E85" s="3130">
        <f t="shared" si="33"/>
        <v>1.7671067901254495E-3</v>
      </c>
      <c r="F85" s="3131">
        <f t="shared" si="40"/>
        <v>-2704000</v>
      </c>
      <c r="G85" s="3098">
        <f t="shared" si="43"/>
        <v>-0.14968999114260406</v>
      </c>
      <c r="H85" s="87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79"/>
      <c r="AU85" s="79"/>
      <c r="AV85" s="79"/>
      <c r="AW85" s="79"/>
      <c r="AX85" s="79"/>
      <c r="AY85" s="79"/>
      <c r="AZ85" s="79"/>
      <c r="BA85" s="79"/>
      <c r="BB85" s="79"/>
      <c r="BC85" s="79"/>
      <c r="BD85" s="79"/>
      <c r="BE85" s="79"/>
      <c r="BF85" s="79"/>
      <c r="BG85" s="79"/>
      <c r="BH85" s="79"/>
      <c r="BI85" s="79"/>
      <c r="BJ85" s="79"/>
      <c r="BK85" s="79"/>
      <c r="BL85" s="79"/>
      <c r="BM85" s="79"/>
      <c r="BN85" s="79"/>
      <c r="BO85" s="79"/>
      <c r="BP85" s="79"/>
      <c r="BQ85" s="79"/>
      <c r="BR85" s="79"/>
      <c r="BS85" s="79"/>
      <c r="BT85" s="79"/>
      <c r="BU85" s="79"/>
      <c r="BV85" s="79"/>
      <c r="BW85" s="79"/>
      <c r="BX85" s="79"/>
      <c r="BY85" s="79"/>
      <c r="BZ85" s="79"/>
      <c r="CA85" s="79"/>
      <c r="CB85" s="79"/>
      <c r="CC85" s="79"/>
      <c r="CD85" s="79"/>
      <c r="CE85" s="79"/>
      <c r="CF85" s="79"/>
      <c r="CG85" s="79"/>
      <c r="CH85" s="79"/>
      <c r="CI85" s="79"/>
      <c r="CJ85" s="79"/>
      <c r="CK85" s="79"/>
      <c r="CL85" s="79"/>
      <c r="CM85" s="79"/>
      <c r="CN85" s="79"/>
      <c r="CO85" s="79"/>
      <c r="CP85" s="79"/>
      <c r="CQ85" s="79"/>
      <c r="CR85" s="79"/>
      <c r="CS85" s="79"/>
      <c r="CT85" s="79"/>
      <c r="CU85" s="79"/>
    </row>
    <row r="86" spans="1:99" s="80" customFormat="1" ht="21.95" customHeight="1">
      <c r="A86" s="439" t="s">
        <v>589</v>
      </c>
      <c r="B86" s="3129">
        <f>'예산세입(주교)'!P27</f>
        <v>0</v>
      </c>
      <c r="C86" s="3130">
        <f t="shared" si="38"/>
        <v>0</v>
      </c>
      <c r="D86" s="3129">
        <f>'예산세입(주교)'!Q27</f>
        <v>2482000</v>
      </c>
      <c r="E86" s="3130">
        <f t="shared" si="33"/>
        <v>2.4280109904181607E-4</v>
      </c>
      <c r="F86" s="3131">
        <f t="shared" si="40"/>
        <v>-2482000</v>
      </c>
      <c r="G86" s="3098">
        <f t="shared" si="43"/>
        <v>-1</v>
      </c>
      <c r="H86" s="87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79"/>
      <c r="AU86" s="79"/>
      <c r="AV86" s="79"/>
      <c r="AW86" s="79"/>
      <c r="AX86" s="79"/>
      <c r="AY86" s="79"/>
      <c r="AZ86" s="79"/>
      <c r="BA86" s="79"/>
      <c r="BB86" s="79"/>
      <c r="BC86" s="79"/>
      <c r="BD86" s="79"/>
      <c r="BE86" s="79"/>
      <c r="BF86" s="79"/>
      <c r="BG86" s="79"/>
      <c r="BH86" s="79"/>
      <c r="BI86" s="79"/>
      <c r="BJ86" s="79"/>
      <c r="BK86" s="79"/>
      <c r="BL86" s="79"/>
      <c r="BM86" s="79"/>
      <c r="BN86" s="79"/>
      <c r="BO86" s="79"/>
      <c r="BP86" s="79"/>
      <c r="BQ86" s="79"/>
      <c r="BR86" s="79"/>
      <c r="BS86" s="79"/>
      <c r="BT86" s="79"/>
      <c r="BU86" s="79"/>
      <c r="BV86" s="79"/>
      <c r="BW86" s="79"/>
      <c r="BX86" s="79"/>
      <c r="BY86" s="79"/>
      <c r="BZ86" s="79"/>
      <c r="CA86" s="79"/>
      <c r="CB86" s="79"/>
      <c r="CC86" s="79"/>
      <c r="CD86" s="79"/>
      <c r="CE86" s="79"/>
      <c r="CF86" s="79"/>
      <c r="CG86" s="79"/>
      <c r="CH86" s="79"/>
      <c r="CI86" s="79"/>
      <c r="CJ86" s="79"/>
      <c r="CK86" s="79"/>
      <c r="CL86" s="79"/>
      <c r="CM86" s="79"/>
      <c r="CN86" s="79"/>
      <c r="CO86" s="79"/>
      <c r="CP86" s="79"/>
      <c r="CQ86" s="79"/>
      <c r="CR86" s="79"/>
      <c r="CS86" s="79"/>
      <c r="CT86" s="79"/>
      <c r="CU86" s="79"/>
    </row>
    <row r="87" spans="1:99" s="80" customFormat="1" ht="21.95" customHeight="1">
      <c r="A87" s="439" t="s">
        <v>583</v>
      </c>
      <c r="B87" s="3129">
        <f>'예산세입(일산서구)'!P82</f>
        <v>24300000</v>
      </c>
      <c r="C87" s="3130">
        <f t="shared" si="38"/>
        <v>2.7893115875694042E-3</v>
      </c>
      <c r="D87" s="3129">
        <v>0</v>
      </c>
      <c r="E87" s="3130">
        <f t="shared" ref="E87" si="44">+D87/$D$7</f>
        <v>0</v>
      </c>
      <c r="F87" s="3131">
        <f t="shared" ref="F87" si="45">+B87-D87</f>
        <v>24300000</v>
      </c>
      <c r="G87" s="3098"/>
      <c r="H87" s="87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79"/>
      <c r="AU87" s="79"/>
      <c r="AV87" s="79"/>
      <c r="AW87" s="79"/>
      <c r="AX87" s="79"/>
      <c r="AY87" s="79"/>
      <c r="AZ87" s="79"/>
      <c r="BA87" s="79"/>
      <c r="BB87" s="79"/>
      <c r="BC87" s="79"/>
      <c r="BD87" s="79"/>
      <c r="BE87" s="79"/>
      <c r="BF87" s="79"/>
      <c r="BG87" s="79"/>
      <c r="BH87" s="79"/>
      <c r="BI87" s="79"/>
      <c r="BJ87" s="79"/>
      <c r="BK87" s="79"/>
      <c r="BL87" s="79"/>
      <c r="BM87" s="79"/>
      <c r="BN87" s="79"/>
      <c r="BO87" s="79"/>
      <c r="BP87" s="79"/>
      <c r="BQ87" s="79"/>
      <c r="BR87" s="79"/>
      <c r="BS87" s="79"/>
      <c r="BT87" s="79"/>
      <c r="BU87" s="79"/>
      <c r="BV87" s="79"/>
      <c r="BW87" s="79"/>
      <c r="BX87" s="79"/>
      <c r="BY87" s="79"/>
      <c r="BZ87" s="79"/>
      <c r="CA87" s="79"/>
      <c r="CB87" s="79"/>
      <c r="CC87" s="79"/>
      <c r="CD87" s="79"/>
      <c r="CE87" s="79"/>
      <c r="CF87" s="79"/>
      <c r="CG87" s="79"/>
      <c r="CH87" s="79"/>
      <c r="CI87" s="79"/>
      <c r="CJ87" s="79"/>
      <c r="CK87" s="79"/>
      <c r="CL87" s="79"/>
      <c r="CM87" s="79"/>
      <c r="CN87" s="79"/>
      <c r="CO87" s="79"/>
      <c r="CP87" s="79"/>
      <c r="CQ87" s="79"/>
      <c r="CR87" s="79"/>
      <c r="CS87" s="79"/>
      <c r="CT87" s="79"/>
      <c r="CU87" s="79"/>
    </row>
    <row r="88" spans="1:99" s="80" customFormat="1" ht="21.95" customHeight="1">
      <c r="A88" s="462" t="s">
        <v>585</v>
      </c>
      <c r="B88" s="3159">
        <f>'예산세입(토당)'!P92</f>
        <v>26150000</v>
      </c>
      <c r="C88" s="3160">
        <f t="shared" si="38"/>
        <v>3.0016665849769515E-3</v>
      </c>
      <c r="D88" s="3159">
        <v>0</v>
      </c>
      <c r="E88" s="3160">
        <f t="shared" ref="E88" si="46">+D88/$D$7</f>
        <v>0</v>
      </c>
      <c r="F88" s="3162">
        <f t="shared" ref="F88" si="47">+B88-D88</f>
        <v>26150000</v>
      </c>
      <c r="G88" s="3124"/>
      <c r="H88" s="87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79"/>
      <c r="AO88" s="79"/>
      <c r="AP88" s="79"/>
      <c r="AQ88" s="79"/>
      <c r="AR88" s="79"/>
      <c r="AS88" s="79"/>
      <c r="AT88" s="79"/>
      <c r="AU88" s="79"/>
      <c r="AV88" s="79"/>
      <c r="AW88" s="79"/>
      <c r="AX88" s="79"/>
      <c r="AY88" s="79"/>
      <c r="AZ88" s="79"/>
      <c r="BA88" s="79"/>
      <c r="BB88" s="79"/>
      <c r="BC88" s="79"/>
      <c r="BD88" s="79"/>
      <c r="BE88" s="79"/>
      <c r="BF88" s="79"/>
      <c r="BG88" s="79"/>
      <c r="BH88" s="79"/>
      <c r="BI88" s="79"/>
      <c r="BJ88" s="79"/>
      <c r="BK88" s="79"/>
      <c r="BL88" s="79"/>
      <c r="BM88" s="79"/>
      <c r="BN88" s="79"/>
      <c r="BO88" s="79"/>
      <c r="BP88" s="79"/>
      <c r="BQ88" s="79"/>
      <c r="BR88" s="79"/>
      <c r="BS88" s="79"/>
      <c r="BT88" s="79"/>
      <c r="BU88" s="79"/>
      <c r="BV88" s="79"/>
      <c r="BW88" s="79"/>
      <c r="BX88" s="79"/>
      <c r="BY88" s="79"/>
      <c r="BZ88" s="79"/>
      <c r="CA88" s="79"/>
      <c r="CB88" s="79"/>
      <c r="CC88" s="79"/>
      <c r="CD88" s="79"/>
      <c r="CE88" s="79"/>
      <c r="CF88" s="79"/>
      <c r="CG88" s="79"/>
      <c r="CH88" s="79"/>
      <c r="CI88" s="79"/>
      <c r="CJ88" s="79"/>
      <c r="CK88" s="79"/>
      <c r="CL88" s="79"/>
      <c r="CM88" s="79"/>
      <c r="CN88" s="79"/>
      <c r="CO88" s="79"/>
      <c r="CP88" s="79"/>
      <c r="CQ88" s="79"/>
      <c r="CR88" s="79"/>
      <c r="CS88" s="79"/>
      <c r="CT88" s="79"/>
      <c r="CU88" s="79"/>
    </row>
    <row r="89" spans="1:99" s="90" customFormat="1" ht="21.95" customHeight="1">
      <c r="A89" s="439" t="s">
        <v>438</v>
      </c>
      <c r="B89" s="3129">
        <f>'예산세입(상담)'!P26</f>
        <v>7620000</v>
      </c>
      <c r="C89" s="3130">
        <f t="shared" si="38"/>
        <v>8.7467301634892424E-4</v>
      </c>
      <c r="D89" s="3129">
        <f>'예산세입(주교)'!Q28</f>
        <v>0</v>
      </c>
      <c r="E89" s="3130">
        <f t="shared" ref="E89" si="48">+D89/$D$7</f>
        <v>0</v>
      </c>
      <c r="F89" s="3131">
        <f t="shared" ref="F89" si="49">+B89-D89</f>
        <v>7620000</v>
      </c>
      <c r="G89" s="3098"/>
    </row>
    <row r="90" spans="1:99" s="90" customFormat="1" ht="21.95" customHeight="1" thickBot="1">
      <c r="A90" s="458" t="s">
        <v>499</v>
      </c>
      <c r="B90" s="3146">
        <f>'예산세입(백마)'!P23</f>
        <v>750000</v>
      </c>
      <c r="C90" s="3147">
        <f t="shared" si="38"/>
        <v>8.6089863813870499E-5</v>
      </c>
      <c r="D90" s="3146">
        <f>'예산세입(주교)'!Q29</f>
        <v>0</v>
      </c>
      <c r="E90" s="3147">
        <f t="shared" ref="E90" si="50">+D90/$D$7</f>
        <v>0</v>
      </c>
      <c r="F90" s="3148">
        <f t="shared" ref="F90" si="51">+B90-D90</f>
        <v>750000</v>
      </c>
      <c r="G90" s="3105"/>
    </row>
    <row r="91" spans="1:99" s="90" customFormat="1" ht="20.25">
      <c r="A91" s="91"/>
      <c r="B91" s="312"/>
      <c r="C91" s="312"/>
      <c r="D91" s="312"/>
      <c r="E91" s="312"/>
      <c r="F91" s="313"/>
      <c r="G91" s="314"/>
    </row>
    <row r="92" spans="1:99" s="90" customFormat="1" ht="20.25">
      <c r="A92" s="91"/>
      <c r="B92" s="315">
        <f>B81+B55</f>
        <v>535210000</v>
      </c>
      <c r="C92" s="315">
        <f t="shared" ref="C92:D92" si="52">C81+C55</f>
        <v>6.1434874682428843E-2</v>
      </c>
      <c r="D92" s="315">
        <f t="shared" si="52"/>
        <v>682054000</v>
      </c>
      <c r="E92" s="312"/>
      <c r="F92" s="313"/>
      <c r="G92" s="314"/>
    </row>
    <row r="93" spans="1:99" s="90" customFormat="1" ht="20.25">
      <c r="A93" s="91"/>
      <c r="B93" s="315"/>
      <c r="C93" s="312"/>
      <c r="D93" s="312"/>
      <c r="E93" s="312"/>
      <c r="F93" s="313"/>
      <c r="G93" s="314"/>
    </row>
    <row r="94" spans="1:99" s="90" customFormat="1" ht="20.25">
      <c r="A94" s="91"/>
      <c r="B94" s="312"/>
      <c r="C94" s="312"/>
      <c r="D94" s="312"/>
      <c r="E94" s="312"/>
      <c r="F94" s="313"/>
      <c r="G94" s="314"/>
    </row>
    <row r="95" spans="1:99" s="90" customFormat="1" ht="20.25">
      <c r="A95" s="91"/>
      <c r="B95" s="312"/>
      <c r="C95" s="312"/>
      <c r="D95" s="312"/>
      <c r="E95" s="312"/>
      <c r="F95" s="313"/>
      <c r="G95" s="314"/>
    </row>
    <row r="96" spans="1:99" s="90" customFormat="1" ht="20.25">
      <c r="A96" s="91"/>
      <c r="B96" s="312"/>
      <c r="C96" s="312"/>
      <c r="D96" s="312"/>
      <c r="E96" s="312"/>
      <c r="F96" s="313"/>
      <c r="G96" s="314"/>
    </row>
    <row r="97" spans="1:7" s="90" customFormat="1" ht="20.25">
      <c r="A97" s="91"/>
      <c r="B97" s="312"/>
      <c r="C97" s="312"/>
      <c r="D97" s="312"/>
      <c r="E97" s="312"/>
      <c r="F97" s="313"/>
      <c r="G97" s="314"/>
    </row>
    <row r="98" spans="1:7" s="90" customFormat="1" ht="20.25">
      <c r="A98" s="91"/>
      <c r="B98" s="312"/>
      <c r="C98" s="312"/>
      <c r="D98" s="312"/>
      <c r="E98" s="312"/>
      <c r="F98" s="313"/>
      <c r="G98" s="314"/>
    </row>
    <row r="99" spans="1:7" s="90" customFormat="1" ht="20.25">
      <c r="A99" s="91"/>
      <c r="B99" s="312"/>
      <c r="C99" s="312"/>
      <c r="D99" s="312"/>
      <c r="E99" s="312"/>
      <c r="F99" s="313"/>
      <c r="G99" s="314"/>
    </row>
    <row r="100" spans="1:7" s="90" customFormat="1" ht="20.25">
      <c r="A100" s="91"/>
      <c r="B100" s="312"/>
      <c r="C100" s="312"/>
      <c r="D100" s="312"/>
      <c r="E100" s="312"/>
      <c r="F100" s="313"/>
      <c r="G100" s="314"/>
    </row>
    <row r="101" spans="1:7" s="90" customFormat="1" ht="20.25">
      <c r="A101" s="91"/>
      <c r="B101" s="312"/>
      <c r="C101" s="312"/>
      <c r="D101" s="312"/>
      <c r="E101" s="312"/>
      <c r="F101" s="313"/>
      <c r="G101" s="314"/>
    </row>
    <row r="102" spans="1:7" s="90" customFormat="1" ht="20.25">
      <c r="A102" s="91"/>
      <c r="B102" s="312"/>
      <c r="C102" s="312"/>
      <c r="D102" s="312"/>
      <c r="E102" s="312"/>
      <c r="F102" s="313"/>
      <c r="G102" s="314"/>
    </row>
    <row r="103" spans="1:7" s="90" customFormat="1" ht="20.25">
      <c r="A103" s="91"/>
      <c r="B103" s="312"/>
      <c r="C103" s="312"/>
      <c r="D103" s="312"/>
      <c r="E103" s="312"/>
      <c r="F103" s="313"/>
      <c r="G103" s="314"/>
    </row>
    <row r="104" spans="1:7" s="90" customFormat="1" ht="20.25">
      <c r="A104" s="91"/>
      <c r="B104" s="312"/>
      <c r="C104" s="312"/>
      <c r="D104" s="312"/>
      <c r="E104" s="312"/>
      <c r="F104" s="313"/>
      <c r="G104" s="314"/>
    </row>
    <row r="105" spans="1:7" s="90" customFormat="1" ht="20.25">
      <c r="A105" s="91"/>
      <c r="B105" s="312"/>
      <c r="C105" s="312"/>
      <c r="D105" s="312"/>
      <c r="E105" s="312"/>
      <c r="F105" s="313"/>
      <c r="G105" s="314"/>
    </row>
    <row r="106" spans="1:7" s="90" customFormat="1" ht="20.25">
      <c r="A106" s="91"/>
      <c r="B106" s="312"/>
      <c r="C106" s="312"/>
      <c r="D106" s="312"/>
      <c r="E106" s="312"/>
      <c r="F106" s="313"/>
      <c r="G106" s="314"/>
    </row>
    <row r="107" spans="1:7" s="90" customFormat="1" ht="20.25">
      <c r="A107" s="91"/>
      <c r="B107" s="312"/>
      <c r="C107" s="312"/>
      <c r="D107" s="312"/>
      <c r="E107" s="312"/>
      <c r="F107" s="313"/>
      <c r="G107" s="314"/>
    </row>
    <row r="108" spans="1:7" s="90" customFormat="1" ht="20.25">
      <c r="A108" s="91"/>
      <c r="B108" s="312"/>
      <c r="C108" s="312"/>
      <c r="D108" s="312"/>
      <c r="E108" s="312"/>
      <c r="F108" s="313"/>
      <c r="G108" s="314"/>
    </row>
    <row r="109" spans="1:7" s="90" customFormat="1" ht="20.25">
      <c r="A109" s="91"/>
      <c r="B109" s="312"/>
      <c r="C109" s="312"/>
      <c r="D109" s="312"/>
      <c r="E109" s="312"/>
      <c r="F109" s="313"/>
      <c r="G109" s="314"/>
    </row>
    <row r="110" spans="1:7" s="90" customFormat="1" ht="20.25">
      <c r="A110" s="91"/>
      <c r="B110" s="312"/>
      <c r="C110" s="312"/>
      <c r="D110" s="312"/>
      <c r="E110" s="312"/>
      <c r="F110" s="313"/>
      <c r="G110" s="314"/>
    </row>
    <row r="111" spans="1:7" s="90" customFormat="1" ht="20.25">
      <c r="A111" s="91"/>
      <c r="B111" s="312"/>
      <c r="C111" s="312"/>
      <c r="D111" s="312"/>
      <c r="E111" s="312"/>
      <c r="F111" s="313"/>
      <c r="G111" s="314"/>
    </row>
    <row r="112" spans="1:7" s="90" customFormat="1" ht="20.25">
      <c r="A112" s="91"/>
      <c r="B112" s="312"/>
      <c r="C112" s="312"/>
      <c r="D112" s="312"/>
      <c r="E112" s="312"/>
      <c r="F112" s="313"/>
      <c r="G112" s="314"/>
    </row>
    <row r="113" spans="1:7" s="90" customFormat="1" ht="20.25">
      <c r="A113" s="91"/>
      <c r="B113" s="312"/>
      <c r="C113" s="312"/>
      <c r="D113" s="312"/>
      <c r="E113" s="312"/>
      <c r="F113" s="313"/>
      <c r="G113" s="314"/>
    </row>
    <row r="114" spans="1:7" s="90" customFormat="1" ht="20.25">
      <c r="A114" s="91"/>
      <c r="B114" s="312"/>
      <c r="C114" s="312"/>
      <c r="D114" s="312"/>
      <c r="E114" s="312"/>
      <c r="F114" s="313"/>
      <c r="G114" s="314"/>
    </row>
    <row r="115" spans="1:7" s="90" customFormat="1" ht="20.25">
      <c r="A115" s="91"/>
      <c r="B115" s="312"/>
      <c r="C115" s="312"/>
      <c r="D115" s="312"/>
      <c r="E115" s="312"/>
      <c r="F115" s="313"/>
      <c r="G115" s="314"/>
    </row>
    <row r="116" spans="1:7" s="90" customFormat="1" ht="20.25">
      <c r="A116" s="91"/>
      <c r="B116" s="312"/>
      <c r="C116" s="312"/>
      <c r="D116" s="312"/>
      <c r="E116" s="312"/>
      <c r="F116" s="313"/>
      <c r="G116" s="314"/>
    </row>
    <row r="117" spans="1:7" s="90" customFormat="1" ht="20.25">
      <c r="A117" s="91"/>
      <c r="B117" s="312"/>
      <c r="C117" s="312"/>
      <c r="D117" s="312"/>
      <c r="E117" s="312"/>
      <c r="F117" s="313"/>
      <c r="G117" s="314"/>
    </row>
    <row r="118" spans="1:7" s="90" customFormat="1" ht="20.25">
      <c r="A118" s="91"/>
      <c r="B118" s="312"/>
      <c r="C118" s="312"/>
      <c r="D118" s="312"/>
      <c r="E118" s="312"/>
      <c r="F118" s="313"/>
      <c r="G118" s="314"/>
    </row>
    <row r="119" spans="1:7" s="90" customFormat="1" ht="20.25">
      <c r="A119" s="91"/>
      <c r="B119" s="312"/>
      <c r="C119" s="312"/>
      <c r="D119" s="312"/>
      <c r="E119" s="312"/>
      <c r="F119" s="313"/>
      <c r="G119" s="314"/>
    </row>
    <row r="120" spans="1:7" s="90" customFormat="1" ht="20.25">
      <c r="A120" s="91"/>
      <c r="B120" s="312"/>
      <c r="C120" s="312"/>
      <c r="D120" s="312"/>
      <c r="E120" s="312"/>
      <c r="F120" s="313"/>
      <c r="G120" s="314"/>
    </row>
    <row r="121" spans="1:7" s="90" customFormat="1" ht="21.75" customHeight="1">
      <c r="A121" s="91"/>
      <c r="B121" s="312"/>
      <c r="C121" s="312"/>
      <c r="D121" s="312"/>
      <c r="E121" s="312"/>
      <c r="F121" s="313"/>
      <c r="G121" s="314"/>
    </row>
    <row r="122" spans="1:7" s="90" customFormat="1" ht="21.75" customHeight="1">
      <c r="A122" s="91"/>
      <c r="B122" s="312"/>
      <c r="C122" s="312"/>
      <c r="D122" s="312"/>
      <c r="E122" s="312"/>
      <c r="F122" s="313"/>
      <c r="G122" s="314"/>
    </row>
    <row r="123" spans="1:7" s="90" customFormat="1" ht="21.75" customHeight="1">
      <c r="A123" s="91"/>
      <c r="B123" s="312"/>
      <c r="C123" s="312"/>
      <c r="D123" s="312"/>
      <c r="E123" s="312"/>
      <c r="F123" s="313"/>
      <c r="G123" s="314"/>
    </row>
    <row r="124" spans="1:7" s="90" customFormat="1" ht="21.75" customHeight="1">
      <c r="A124" s="91"/>
      <c r="B124" s="312"/>
      <c r="C124" s="312"/>
      <c r="D124" s="312"/>
      <c r="E124" s="312"/>
      <c r="F124" s="313"/>
      <c r="G124" s="314"/>
    </row>
    <row r="125" spans="1:7" s="90" customFormat="1" ht="21.75" customHeight="1">
      <c r="A125" s="91"/>
      <c r="B125" s="312"/>
      <c r="C125" s="312"/>
      <c r="D125" s="312"/>
      <c r="E125" s="312"/>
      <c r="F125" s="313"/>
      <c r="G125" s="314"/>
    </row>
    <row r="126" spans="1:7" s="90" customFormat="1" ht="21.75" customHeight="1">
      <c r="A126" s="91"/>
      <c r="B126" s="312"/>
      <c r="C126" s="312"/>
      <c r="D126" s="312"/>
      <c r="E126" s="312"/>
      <c r="F126" s="313"/>
      <c r="G126" s="314"/>
    </row>
    <row r="127" spans="1:7" s="90" customFormat="1" ht="21.75" customHeight="1">
      <c r="A127" s="91"/>
      <c r="B127" s="312"/>
      <c r="C127" s="312"/>
      <c r="D127" s="312"/>
      <c r="E127" s="312"/>
      <c r="F127" s="313"/>
      <c r="G127" s="314"/>
    </row>
    <row r="128" spans="1:7" s="90" customFormat="1" ht="21.75" customHeight="1">
      <c r="A128" s="91"/>
      <c r="B128" s="312"/>
      <c r="C128" s="312"/>
      <c r="D128" s="312"/>
      <c r="E128" s="312"/>
      <c r="F128" s="313"/>
      <c r="G128" s="314"/>
    </row>
    <row r="129" spans="1:7" s="90" customFormat="1" ht="21.75" customHeight="1">
      <c r="A129" s="91"/>
      <c r="B129" s="312"/>
      <c r="C129" s="312"/>
      <c r="D129" s="312"/>
      <c r="E129" s="312"/>
      <c r="F129" s="313"/>
      <c r="G129" s="314"/>
    </row>
    <row r="130" spans="1:7" s="90" customFormat="1" ht="21.75" customHeight="1">
      <c r="A130" s="91"/>
      <c r="B130" s="312"/>
      <c r="C130" s="312"/>
      <c r="D130" s="312"/>
      <c r="E130" s="312"/>
      <c r="F130" s="313"/>
      <c r="G130" s="314"/>
    </row>
    <row r="131" spans="1:7" s="90" customFormat="1" ht="21.75" customHeight="1">
      <c r="A131" s="91"/>
      <c r="B131" s="312"/>
      <c r="C131" s="312"/>
      <c r="D131" s="312"/>
      <c r="E131" s="312"/>
      <c r="F131" s="313"/>
      <c r="G131" s="314"/>
    </row>
    <row r="132" spans="1:7" s="90" customFormat="1" ht="21.75" customHeight="1">
      <c r="A132" s="91"/>
      <c r="B132" s="312"/>
      <c r="C132" s="312"/>
      <c r="D132" s="312"/>
      <c r="E132" s="312"/>
      <c r="F132" s="313"/>
      <c r="G132" s="314"/>
    </row>
    <row r="133" spans="1:7" s="90" customFormat="1" ht="21.75" customHeight="1">
      <c r="A133" s="91"/>
      <c r="B133" s="312"/>
      <c r="C133" s="312"/>
      <c r="D133" s="312"/>
      <c r="E133" s="312"/>
      <c r="F133" s="313"/>
      <c r="G133" s="314"/>
    </row>
    <row r="134" spans="1:7" s="90" customFormat="1" ht="21.75" customHeight="1">
      <c r="A134" s="91"/>
      <c r="B134" s="312"/>
      <c r="C134" s="312"/>
      <c r="D134" s="312"/>
      <c r="E134" s="312"/>
      <c r="F134" s="313"/>
      <c r="G134" s="314"/>
    </row>
    <row r="135" spans="1:7" s="90" customFormat="1" ht="21.75" customHeight="1">
      <c r="A135" s="91"/>
      <c r="B135" s="312"/>
      <c r="C135" s="312"/>
      <c r="D135" s="312"/>
      <c r="E135" s="312"/>
      <c r="F135" s="313"/>
      <c r="G135" s="314"/>
    </row>
    <row r="136" spans="1:7" s="90" customFormat="1" ht="21.75" customHeight="1">
      <c r="A136" s="91"/>
      <c r="B136" s="312"/>
      <c r="C136" s="312"/>
      <c r="D136" s="312"/>
      <c r="E136" s="312"/>
      <c r="F136" s="313"/>
      <c r="G136" s="314"/>
    </row>
    <row r="137" spans="1:7" s="90" customFormat="1" ht="21.75" customHeight="1">
      <c r="A137" s="91"/>
      <c r="B137" s="312"/>
      <c r="C137" s="312"/>
      <c r="D137" s="312"/>
      <c r="E137" s="312"/>
      <c r="F137" s="313"/>
      <c r="G137" s="314"/>
    </row>
    <row r="138" spans="1:7" s="90" customFormat="1" ht="21.75" customHeight="1">
      <c r="A138" s="91"/>
      <c r="B138" s="312"/>
      <c r="C138" s="312"/>
      <c r="D138" s="312"/>
      <c r="E138" s="312"/>
      <c r="F138" s="313"/>
      <c r="G138" s="314"/>
    </row>
    <row r="139" spans="1:7" s="90" customFormat="1" ht="21.75" customHeight="1">
      <c r="A139" s="91"/>
      <c r="B139" s="312"/>
      <c r="C139" s="312"/>
      <c r="D139" s="312"/>
      <c r="E139" s="312"/>
      <c r="F139" s="313"/>
      <c r="G139" s="314"/>
    </row>
    <row r="140" spans="1:7" s="90" customFormat="1" ht="21.75" customHeight="1">
      <c r="A140" s="91"/>
      <c r="B140" s="312"/>
      <c r="C140" s="312"/>
      <c r="D140" s="312"/>
      <c r="E140" s="312"/>
      <c r="F140" s="313"/>
      <c r="G140" s="314"/>
    </row>
    <row r="141" spans="1:7" s="90" customFormat="1" ht="21.75" customHeight="1">
      <c r="A141" s="91"/>
      <c r="B141" s="312"/>
      <c r="C141" s="312"/>
      <c r="D141" s="312"/>
      <c r="E141" s="312"/>
      <c r="F141" s="313"/>
      <c r="G141" s="314"/>
    </row>
    <row r="142" spans="1:7" s="90" customFormat="1" ht="21.75" customHeight="1">
      <c r="A142" s="91"/>
      <c r="B142" s="312"/>
      <c r="C142" s="312"/>
      <c r="D142" s="312"/>
      <c r="E142" s="312"/>
      <c r="F142" s="313"/>
      <c r="G142" s="314"/>
    </row>
    <row r="143" spans="1:7" s="90" customFormat="1" ht="21.75" customHeight="1">
      <c r="A143" s="91"/>
      <c r="B143" s="312"/>
      <c r="C143" s="312"/>
      <c r="D143" s="312"/>
      <c r="E143" s="312"/>
      <c r="F143" s="313"/>
      <c r="G143" s="314"/>
    </row>
    <row r="144" spans="1:7" s="90" customFormat="1" ht="21.75" customHeight="1">
      <c r="A144" s="91"/>
      <c r="B144" s="312"/>
      <c r="C144" s="312"/>
      <c r="D144" s="312"/>
      <c r="E144" s="312"/>
      <c r="F144" s="313"/>
      <c r="G144" s="314"/>
    </row>
    <row r="145" spans="1:7" s="90" customFormat="1" ht="21.75" customHeight="1">
      <c r="A145" s="91"/>
      <c r="B145" s="312"/>
      <c r="C145" s="312"/>
      <c r="D145" s="312"/>
      <c r="E145" s="312"/>
      <c r="F145" s="313"/>
      <c r="G145" s="314"/>
    </row>
    <row r="146" spans="1:7" s="90" customFormat="1" ht="21.75" customHeight="1">
      <c r="A146" s="91"/>
      <c r="B146" s="312"/>
      <c r="C146" s="312"/>
      <c r="D146" s="312"/>
      <c r="E146" s="312"/>
      <c r="F146" s="313"/>
      <c r="G146" s="314"/>
    </row>
    <row r="147" spans="1:7" s="90" customFormat="1" ht="21.75" customHeight="1">
      <c r="A147" s="91"/>
      <c r="B147" s="312"/>
      <c r="C147" s="312"/>
      <c r="D147" s="312"/>
      <c r="E147" s="312"/>
      <c r="F147" s="313"/>
      <c r="G147" s="314"/>
    </row>
    <row r="148" spans="1:7" s="90" customFormat="1" ht="21.75" customHeight="1">
      <c r="A148" s="91"/>
      <c r="B148" s="312"/>
      <c r="C148" s="312"/>
      <c r="D148" s="312"/>
      <c r="E148" s="312"/>
      <c r="F148" s="313"/>
      <c r="G148" s="314"/>
    </row>
    <row r="149" spans="1:7" s="90" customFormat="1" ht="21.75" customHeight="1">
      <c r="A149" s="91"/>
      <c r="B149" s="312"/>
      <c r="C149" s="312"/>
      <c r="D149" s="312"/>
      <c r="E149" s="312"/>
      <c r="F149" s="313"/>
      <c r="G149" s="314"/>
    </row>
    <row r="150" spans="1:7" s="90" customFormat="1" ht="21.75" customHeight="1">
      <c r="A150" s="91"/>
      <c r="B150" s="312"/>
      <c r="C150" s="312"/>
      <c r="D150" s="312"/>
      <c r="E150" s="312"/>
      <c r="F150" s="313"/>
      <c r="G150" s="314"/>
    </row>
    <row r="151" spans="1:7" s="90" customFormat="1" ht="21.75" customHeight="1">
      <c r="A151" s="91"/>
      <c r="B151" s="312"/>
      <c r="C151" s="312"/>
      <c r="D151" s="312"/>
      <c r="E151" s="312"/>
      <c r="F151" s="313"/>
      <c r="G151" s="314"/>
    </row>
    <row r="152" spans="1:7" s="90" customFormat="1" ht="21.75" customHeight="1">
      <c r="A152" s="91"/>
      <c r="B152" s="312"/>
      <c r="C152" s="312"/>
      <c r="D152" s="312"/>
      <c r="E152" s="312"/>
      <c r="F152" s="313"/>
      <c r="G152" s="314"/>
    </row>
    <row r="153" spans="1:7" s="90" customFormat="1" ht="21.75" customHeight="1">
      <c r="A153" s="91"/>
      <c r="B153" s="312"/>
      <c r="C153" s="312"/>
      <c r="D153" s="312"/>
      <c r="E153" s="312"/>
      <c r="F153" s="313"/>
      <c r="G153" s="314"/>
    </row>
    <row r="154" spans="1:7" s="90" customFormat="1" ht="21.75" customHeight="1">
      <c r="A154" s="91"/>
      <c r="B154" s="312"/>
      <c r="C154" s="312"/>
      <c r="D154" s="312"/>
      <c r="E154" s="312"/>
      <c r="F154" s="313"/>
      <c r="G154" s="314"/>
    </row>
    <row r="155" spans="1:7" s="90" customFormat="1" ht="21.75" customHeight="1">
      <c r="A155" s="91"/>
      <c r="B155" s="312"/>
      <c r="C155" s="312"/>
      <c r="D155" s="312"/>
      <c r="E155" s="312"/>
      <c r="F155" s="313"/>
      <c r="G155" s="314"/>
    </row>
    <row r="156" spans="1:7" s="90" customFormat="1" ht="21.75" customHeight="1">
      <c r="A156" s="91"/>
      <c r="B156" s="312"/>
      <c r="C156" s="312"/>
      <c r="D156" s="312"/>
      <c r="E156" s="312"/>
      <c r="F156" s="313"/>
      <c r="G156" s="314"/>
    </row>
    <row r="157" spans="1:7" s="90" customFormat="1" ht="21.75" customHeight="1">
      <c r="A157" s="91"/>
      <c r="B157" s="312"/>
      <c r="C157" s="312"/>
      <c r="D157" s="312"/>
      <c r="E157" s="312"/>
      <c r="F157" s="313"/>
      <c r="G157" s="314"/>
    </row>
    <row r="158" spans="1:7" s="90" customFormat="1" ht="21.75" customHeight="1">
      <c r="A158" s="91"/>
      <c r="B158" s="312"/>
      <c r="C158" s="312"/>
      <c r="D158" s="312"/>
      <c r="E158" s="312"/>
      <c r="F158" s="313"/>
      <c r="G158" s="314"/>
    </row>
    <row r="159" spans="1:7" s="90" customFormat="1" ht="21.75" customHeight="1">
      <c r="A159" s="91"/>
      <c r="B159" s="312"/>
      <c r="C159" s="312"/>
      <c r="D159" s="312"/>
      <c r="E159" s="312"/>
      <c r="F159" s="313"/>
      <c r="G159" s="314"/>
    </row>
    <row r="160" spans="1:7" s="90" customFormat="1" ht="21.75" customHeight="1">
      <c r="A160" s="91"/>
      <c r="B160" s="312"/>
      <c r="C160" s="312"/>
      <c r="D160" s="312"/>
      <c r="E160" s="312"/>
      <c r="F160" s="313"/>
      <c r="G160" s="314"/>
    </row>
    <row r="161" spans="1:7" s="90" customFormat="1" ht="21.75" customHeight="1">
      <c r="A161" s="91"/>
      <c r="B161" s="312"/>
      <c r="C161" s="312"/>
      <c r="D161" s="312"/>
      <c r="E161" s="312"/>
      <c r="F161" s="313"/>
      <c r="G161" s="314"/>
    </row>
    <row r="162" spans="1:7" s="90" customFormat="1" ht="21.75" customHeight="1">
      <c r="A162" s="91"/>
      <c r="B162" s="312"/>
      <c r="C162" s="312"/>
      <c r="D162" s="312"/>
      <c r="E162" s="312"/>
      <c r="F162" s="313"/>
      <c r="G162" s="314"/>
    </row>
    <row r="163" spans="1:7" s="90" customFormat="1" ht="21.75" customHeight="1">
      <c r="A163" s="91"/>
      <c r="B163" s="312"/>
      <c r="C163" s="312"/>
      <c r="D163" s="312"/>
      <c r="E163" s="312"/>
      <c r="F163" s="313"/>
      <c r="G163" s="314"/>
    </row>
    <row r="164" spans="1:7" s="90" customFormat="1" ht="21.75" customHeight="1">
      <c r="A164" s="91"/>
      <c r="B164" s="312"/>
      <c r="C164" s="312"/>
      <c r="D164" s="312"/>
      <c r="E164" s="312"/>
      <c r="F164" s="313"/>
      <c r="G164" s="314"/>
    </row>
    <row r="165" spans="1:7" s="90" customFormat="1" ht="21.75" customHeight="1">
      <c r="A165" s="91"/>
      <c r="B165" s="312"/>
      <c r="C165" s="312"/>
      <c r="D165" s="312"/>
      <c r="E165" s="312"/>
      <c r="F165" s="313"/>
      <c r="G165" s="314"/>
    </row>
    <row r="166" spans="1:7" s="90" customFormat="1" ht="21.75" customHeight="1">
      <c r="A166" s="91"/>
      <c r="B166" s="312"/>
      <c r="C166" s="312"/>
      <c r="D166" s="312"/>
      <c r="E166" s="312"/>
      <c r="F166" s="313"/>
      <c r="G166" s="314"/>
    </row>
    <row r="167" spans="1:7" s="90" customFormat="1" ht="21.75" customHeight="1">
      <c r="A167" s="91"/>
      <c r="B167" s="312"/>
      <c r="C167" s="312"/>
      <c r="D167" s="312"/>
      <c r="E167" s="312"/>
      <c r="F167" s="313"/>
      <c r="G167" s="314"/>
    </row>
    <row r="168" spans="1:7" s="90" customFormat="1" ht="21.75" customHeight="1">
      <c r="A168" s="91"/>
      <c r="B168" s="312"/>
      <c r="C168" s="312"/>
      <c r="D168" s="312"/>
      <c r="E168" s="312"/>
      <c r="F168" s="313"/>
      <c r="G168" s="314"/>
    </row>
    <row r="169" spans="1:7" s="90" customFormat="1" ht="21.75" customHeight="1">
      <c r="A169" s="91"/>
      <c r="B169" s="312"/>
      <c r="C169" s="312"/>
      <c r="D169" s="312"/>
      <c r="E169" s="312"/>
      <c r="F169" s="313"/>
      <c r="G169" s="314"/>
    </row>
    <row r="170" spans="1:7" s="90" customFormat="1" ht="21.75" customHeight="1">
      <c r="A170" s="91"/>
      <c r="B170" s="312"/>
      <c r="C170" s="312"/>
      <c r="D170" s="312"/>
      <c r="E170" s="312"/>
      <c r="F170" s="313"/>
      <c r="G170" s="314"/>
    </row>
    <row r="171" spans="1:7" s="90" customFormat="1" ht="21.75" customHeight="1">
      <c r="A171" s="91"/>
      <c r="B171" s="312"/>
      <c r="C171" s="312"/>
      <c r="D171" s="312"/>
      <c r="E171" s="312"/>
      <c r="F171" s="313"/>
      <c r="G171" s="314"/>
    </row>
    <row r="172" spans="1:7" s="90" customFormat="1" ht="21.75" customHeight="1">
      <c r="A172" s="91"/>
      <c r="B172" s="312"/>
      <c r="C172" s="312"/>
      <c r="D172" s="312"/>
      <c r="E172" s="312"/>
      <c r="F172" s="313"/>
      <c r="G172" s="314"/>
    </row>
    <row r="173" spans="1:7" s="90" customFormat="1" ht="21.75" customHeight="1">
      <c r="A173" s="91"/>
      <c r="B173" s="312"/>
      <c r="C173" s="312"/>
      <c r="D173" s="312"/>
      <c r="E173" s="312"/>
      <c r="F173" s="313"/>
      <c r="G173" s="314"/>
    </row>
    <row r="174" spans="1:7" s="90" customFormat="1" ht="21.75" customHeight="1">
      <c r="A174" s="91"/>
      <c r="B174" s="312"/>
      <c r="C174" s="312"/>
      <c r="D174" s="312"/>
      <c r="E174" s="312"/>
      <c r="F174" s="313"/>
      <c r="G174" s="314"/>
    </row>
    <row r="175" spans="1:7" s="90" customFormat="1" ht="21.75" customHeight="1">
      <c r="A175" s="91"/>
      <c r="B175" s="312"/>
      <c r="C175" s="312"/>
      <c r="D175" s="312"/>
      <c r="E175" s="312"/>
      <c r="F175" s="313"/>
      <c r="G175" s="314"/>
    </row>
    <row r="176" spans="1:7" s="90" customFormat="1" ht="21.75" customHeight="1">
      <c r="A176" s="91"/>
      <c r="B176" s="312"/>
      <c r="C176" s="312"/>
      <c r="D176" s="312"/>
      <c r="E176" s="312"/>
      <c r="F176" s="313"/>
      <c r="G176" s="314"/>
    </row>
    <row r="177" spans="1:7" s="90" customFormat="1" ht="21.75" customHeight="1">
      <c r="A177" s="91"/>
      <c r="B177" s="312"/>
      <c r="C177" s="312"/>
      <c r="D177" s="312"/>
      <c r="E177" s="312"/>
      <c r="F177" s="313"/>
      <c r="G177" s="314"/>
    </row>
    <row r="178" spans="1:7" s="90" customFormat="1" ht="21.75" customHeight="1">
      <c r="A178" s="91"/>
      <c r="B178" s="312"/>
      <c r="C178" s="312"/>
      <c r="D178" s="312"/>
      <c r="E178" s="312"/>
      <c r="F178" s="313"/>
      <c r="G178" s="314"/>
    </row>
    <row r="179" spans="1:7" s="90" customFormat="1" ht="21.75" customHeight="1">
      <c r="A179" s="91"/>
      <c r="B179" s="312"/>
      <c r="C179" s="312"/>
      <c r="D179" s="312"/>
      <c r="E179" s="312"/>
      <c r="F179" s="313"/>
      <c r="G179" s="314"/>
    </row>
    <row r="180" spans="1:7" s="90" customFormat="1" ht="21.75" customHeight="1">
      <c r="A180" s="91"/>
      <c r="B180" s="312"/>
      <c r="C180" s="312"/>
      <c r="D180" s="312"/>
      <c r="E180" s="312"/>
      <c r="F180" s="313"/>
      <c r="G180" s="314"/>
    </row>
    <row r="181" spans="1:7" s="90" customFormat="1" ht="21.75" customHeight="1">
      <c r="A181" s="91"/>
      <c r="B181" s="312"/>
      <c r="C181" s="312"/>
      <c r="D181" s="312"/>
      <c r="E181" s="312"/>
      <c r="F181" s="313"/>
      <c r="G181" s="314"/>
    </row>
    <row r="182" spans="1:7" s="90" customFormat="1" ht="21.75" customHeight="1">
      <c r="A182" s="91"/>
      <c r="B182" s="312"/>
      <c r="C182" s="312"/>
      <c r="D182" s="312"/>
      <c r="E182" s="312"/>
      <c r="F182" s="313"/>
      <c r="G182" s="314"/>
    </row>
    <row r="183" spans="1:7" s="90" customFormat="1" ht="21.75" customHeight="1">
      <c r="A183" s="91"/>
      <c r="B183" s="312"/>
      <c r="C183" s="312"/>
      <c r="D183" s="312"/>
      <c r="E183" s="312"/>
      <c r="F183" s="313"/>
      <c r="G183" s="314"/>
    </row>
    <row r="184" spans="1:7" s="90" customFormat="1" ht="21.75" customHeight="1">
      <c r="A184" s="91"/>
      <c r="B184" s="312"/>
      <c r="C184" s="312"/>
      <c r="D184" s="312"/>
      <c r="E184" s="312"/>
      <c r="F184" s="313"/>
      <c r="G184" s="314"/>
    </row>
    <row r="185" spans="1:7" s="90" customFormat="1" ht="21.75" customHeight="1">
      <c r="A185" s="91"/>
      <c r="B185" s="312"/>
      <c r="C185" s="312"/>
      <c r="D185" s="312"/>
      <c r="E185" s="312"/>
      <c r="F185" s="313"/>
      <c r="G185" s="314"/>
    </row>
    <row r="186" spans="1:7" s="90" customFormat="1" ht="21.75" customHeight="1">
      <c r="A186" s="91"/>
      <c r="B186" s="312"/>
      <c r="C186" s="312"/>
      <c r="D186" s="312"/>
      <c r="E186" s="312"/>
      <c r="F186" s="313"/>
      <c r="G186" s="314"/>
    </row>
    <row r="187" spans="1:7" s="90" customFormat="1" ht="21.75" customHeight="1">
      <c r="A187" s="91"/>
      <c r="B187" s="312"/>
      <c r="C187" s="312"/>
      <c r="D187" s="312"/>
      <c r="E187" s="312"/>
      <c r="F187" s="313"/>
      <c r="G187" s="314"/>
    </row>
    <row r="188" spans="1:7" s="90" customFormat="1" ht="21.75" customHeight="1">
      <c r="A188" s="91"/>
      <c r="B188" s="312"/>
      <c r="C188" s="312"/>
      <c r="D188" s="312"/>
      <c r="E188" s="312"/>
      <c r="F188" s="313"/>
      <c r="G188" s="314"/>
    </row>
    <row r="189" spans="1:7" s="90" customFormat="1" ht="21.75" customHeight="1">
      <c r="A189" s="91"/>
      <c r="B189" s="312"/>
      <c r="C189" s="312"/>
      <c r="D189" s="312"/>
      <c r="E189" s="312"/>
      <c r="F189" s="313"/>
      <c r="G189" s="314"/>
    </row>
    <row r="190" spans="1:7" s="90" customFormat="1" ht="21.75" customHeight="1">
      <c r="A190" s="91"/>
      <c r="B190" s="312"/>
      <c r="C190" s="312"/>
      <c r="D190" s="312"/>
      <c r="E190" s="312"/>
      <c r="F190" s="313"/>
      <c r="G190" s="314"/>
    </row>
    <row r="191" spans="1:7" s="90" customFormat="1" ht="21.75" customHeight="1">
      <c r="A191" s="91"/>
      <c r="B191" s="312"/>
      <c r="C191" s="312"/>
      <c r="D191" s="312"/>
      <c r="E191" s="312"/>
      <c r="F191" s="313"/>
      <c r="G191" s="314"/>
    </row>
    <row r="192" spans="1:7" s="90" customFormat="1" ht="21.75" customHeight="1">
      <c r="A192" s="91"/>
      <c r="B192" s="312"/>
      <c r="C192" s="312"/>
      <c r="D192" s="312"/>
      <c r="E192" s="312"/>
      <c r="F192" s="313"/>
      <c r="G192" s="314"/>
    </row>
    <row r="193" spans="1:7" s="90" customFormat="1" ht="21.75" customHeight="1">
      <c r="A193" s="91"/>
      <c r="B193" s="312"/>
      <c r="C193" s="312"/>
      <c r="D193" s="312"/>
      <c r="E193" s="312"/>
      <c r="F193" s="313"/>
      <c r="G193" s="314"/>
    </row>
    <row r="194" spans="1:7" s="90" customFormat="1" ht="21.75" customHeight="1">
      <c r="A194" s="91"/>
      <c r="B194" s="312"/>
      <c r="C194" s="312"/>
      <c r="D194" s="312"/>
      <c r="E194" s="312"/>
      <c r="F194" s="313"/>
      <c r="G194" s="314"/>
    </row>
    <row r="195" spans="1:7" s="90" customFormat="1" ht="21.75" customHeight="1">
      <c r="A195" s="91"/>
      <c r="B195" s="312"/>
      <c r="C195" s="312"/>
      <c r="D195" s="312"/>
      <c r="E195" s="312"/>
      <c r="F195" s="313"/>
      <c r="G195" s="314"/>
    </row>
    <row r="196" spans="1:7" s="90" customFormat="1" ht="21.75" customHeight="1">
      <c r="A196" s="91"/>
      <c r="B196" s="312"/>
      <c r="C196" s="312"/>
      <c r="D196" s="312"/>
      <c r="E196" s="312"/>
      <c r="F196" s="313"/>
      <c r="G196" s="314"/>
    </row>
  </sheetData>
  <mergeCells count="9">
    <mergeCell ref="A5:A6"/>
    <mergeCell ref="B5:C5"/>
    <mergeCell ref="D5:E5"/>
    <mergeCell ref="F5:G5"/>
    <mergeCell ref="A1:G1"/>
    <mergeCell ref="A2:G2"/>
    <mergeCell ref="A3:C3"/>
    <mergeCell ref="F3:G3"/>
    <mergeCell ref="A4:G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8" fitToHeight="0" orientation="landscape" r:id="rId1"/>
  <headerFooter scaleWithDoc="0">
    <oddFooter>&amp;C&amp;P</oddFooter>
  </headerFooter>
  <rowBreaks count="3" manualBreakCount="3">
    <brk id="39" max="6" man="1"/>
    <brk id="56" max="6" man="1"/>
    <brk id="73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A1:DS252"/>
  <sheetViews>
    <sheetView tabSelected="1" view="pageBreakPreview" zoomScaleNormal="100" zoomScaleSheetLayoutView="100" workbookViewId="0">
      <pane xSplit="1" ySplit="5" topLeftCell="B84" activePane="bottomRight" state="frozen"/>
      <selection activeCell="W31" sqref="W31"/>
      <selection pane="topRight" activeCell="W31" sqref="W31"/>
      <selection pane="bottomLeft" activeCell="W31" sqref="W31"/>
      <selection pane="bottomRight" activeCell="D90" sqref="D90"/>
    </sheetView>
  </sheetViews>
  <sheetFormatPr defaultColWidth="9" defaultRowHeight="21.75" customHeight="1"/>
  <cols>
    <col min="1" max="1" width="29.125" style="62" bestFit="1" customWidth="1"/>
    <col min="2" max="3" width="17.125" style="98" customWidth="1"/>
    <col min="4" max="4" width="17.125" style="99" customWidth="1"/>
    <col min="5" max="6" width="17.125" style="62" customWidth="1"/>
    <col min="7" max="7" width="17.125" style="200" customWidth="1"/>
    <col min="8" max="8" width="4" style="62" customWidth="1"/>
    <col min="9" max="9" width="9" style="180"/>
    <col min="10" max="10" width="14.75" style="180" customWidth="1"/>
    <col min="11" max="11" width="14.5" style="180" customWidth="1"/>
    <col min="12" max="12" width="12.875" style="180" bestFit="1" customWidth="1"/>
    <col min="13" max="13" width="11.375" style="180" bestFit="1" customWidth="1"/>
    <col min="14" max="14" width="14.375" style="62" customWidth="1"/>
    <col min="15" max="15" width="9" style="62"/>
    <col min="16" max="22" width="9" style="180"/>
    <col min="23" max="16384" width="9" style="62"/>
  </cols>
  <sheetData>
    <row r="1" spans="1:123" s="75" customFormat="1" ht="34.5" customHeight="1">
      <c r="A1" s="3567" t="s">
        <v>1564</v>
      </c>
      <c r="B1" s="3567"/>
      <c r="C1" s="3567"/>
      <c r="D1" s="3567"/>
      <c r="E1" s="3567"/>
      <c r="F1" s="3567"/>
      <c r="G1" s="3567"/>
      <c r="H1" s="73"/>
      <c r="I1" s="2984"/>
      <c r="J1" s="2984"/>
      <c r="K1" s="2984"/>
      <c r="L1" s="2984"/>
      <c r="M1" s="2984"/>
      <c r="N1" s="2985"/>
      <c r="O1" s="74"/>
      <c r="P1" s="176"/>
      <c r="Q1" s="176"/>
      <c r="R1" s="176"/>
      <c r="S1" s="176"/>
      <c r="T1" s="176"/>
      <c r="U1" s="176"/>
      <c r="V1" s="176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</row>
    <row r="2" spans="1:123" s="75" customFormat="1" ht="17.25" customHeight="1">
      <c r="A2" s="3574"/>
      <c r="B2" s="3574"/>
      <c r="C2" s="3574"/>
      <c r="D2" s="3574"/>
      <c r="E2" s="3574"/>
      <c r="F2" s="3574"/>
      <c r="G2" s="3574"/>
      <c r="I2" s="176"/>
      <c r="J2" s="176"/>
      <c r="K2" s="176"/>
      <c r="L2" s="176"/>
      <c r="M2" s="2986"/>
      <c r="N2" s="2987"/>
      <c r="O2" s="74"/>
      <c r="P2" s="176"/>
      <c r="Q2" s="176"/>
      <c r="R2" s="176"/>
      <c r="S2" s="176"/>
      <c r="T2" s="176"/>
      <c r="U2" s="176"/>
      <c r="V2" s="176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4"/>
      <c r="DC2" s="74"/>
      <c r="DD2" s="74"/>
      <c r="DE2" s="74"/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</row>
    <row r="3" spans="1:123" s="75" customFormat="1" ht="21.75" customHeight="1" thickBot="1">
      <c r="A3" s="93"/>
      <c r="B3" s="93"/>
      <c r="C3" s="93"/>
      <c r="D3" s="93"/>
      <c r="E3" s="93"/>
      <c r="F3" s="3576" t="s">
        <v>603</v>
      </c>
      <c r="G3" s="3576"/>
      <c r="H3" s="100"/>
      <c r="I3" s="176"/>
      <c r="J3" s="176"/>
      <c r="K3" s="176"/>
      <c r="L3" s="176"/>
      <c r="M3" s="176"/>
      <c r="N3" s="74"/>
      <c r="O3" s="74"/>
      <c r="P3" s="176"/>
      <c r="Q3" s="176"/>
      <c r="R3" s="176"/>
      <c r="S3" s="176"/>
      <c r="T3" s="176"/>
      <c r="U3" s="176"/>
      <c r="V3" s="176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74"/>
      <c r="DC3" s="74"/>
      <c r="DD3" s="74"/>
      <c r="DE3" s="74"/>
      <c r="DF3" s="74"/>
      <c r="DG3" s="74"/>
      <c r="DH3" s="74"/>
      <c r="DI3" s="74"/>
      <c r="DJ3" s="74"/>
      <c r="DK3" s="74"/>
      <c r="DL3" s="74"/>
      <c r="DM3" s="74"/>
      <c r="DN3" s="74"/>
      <c r="DO3" s="74"/>
      <c r="DP3" s="74"/>
      <c r="DQ3" s="74"/>
      <c r="DR3" s="74"/>
      <c r="DS3" s="74"/>
    </row>
    <row r="4" spans="1:123" s="75" customFormat="1" ht="20.100000000000001" customHeight="1">
      <c r="A4" s="3597" t="s">
        <v>604</v>
      </c>
      <c r="B4" s="3598"/>
      <c r="C4" s="3598"/>
      <c r="D4" s="3598"/>
      <c r="E4" s="3598"/>
      <c r="F4" s="3598"/>
      <c r="G4" s="3599"/>
      <c r="H4" s="77"/>
      <c r="I4" s="176"/>
      <c r="J4" s="176"/>
      <c r="K4" s="176"/>
      <c r="L4" s="176"/>
      <c r="M4" s="176"/>
      <c r="N4" s="74"/>
      <c r="O4" s="74"/>
      <c r="P4" s="176"/>
      <c r="Q4" s="176"/>
      <c r="R4" s="176"/>
      <c r="S4" s="176"/>
      <c r="T4" s="176"/>
      <c r="U4" s="176"/>
      <c r="V4" s="176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4"/>
      <c r="CO4" s="74"/>
      <c r="CP4" s="74"/>
      <c r="CQ4" s="74"/>
      <c r="CR4" s="74"/>
      <c r="CS4" s="74"/>
      <c r="CT4" s="74"/>
      <c r="CU4" s="74"/>
      <c r="CV4" s="74"/>
      <c r="CW4" s="74"/>
      <c r="CX4" s="74"/>
      <c r="CY4" s="74"/>
      <c r="CZ4" s="74"/>
      <c r="DA4" s="74"/>
      <c r="DB4" s="74"/>
      <c r="DC4" s="74"/>
      <c r="DD4" s="74"/>
      <c r="DE4" s="74"/>
      <c r="DF4" s="74"/>
      <c r="DG4" s="74"/>
      <c r="DH4" s="74"/>
      <c r="DI4" s="74"/>
      <c r="DJ4" s="74"/>
      <c r="DK4" s="74"/>
      <c r="DL4" s="74"/>
      <c r="DM4" s="74"/>
      <c r="DN4" s="74"/>
      <c r="DO4" s="74"/>
      <c r="DP4" s="74"/>
      <c r="DQ4" s="74"/>
      <c r="DR4" s="74"/>
      <c r="DS4" s="74"/>
    </row>
    <row r="5" spans="1:123" s="80" customFormat="1" ht="20.100000000000001" customHeight="1">
      <c r="A5" s="3600" t="s">
        <v>564</v>
      </c>
      <c r="B5" s="3602" t="s">
        <v>1559</v>
      </c>
      <c r="C5" s="3602"/>
      <c r="D5" s="3602" t="s">
        <v>1562</v>
      </c>
      <c r="E5" s="3602"/>
      <c r="F5" s="3602" t="s">
        <v>598</v>
      </c>
      <c r="G5" s="3603"/>
      <c r="H5" s="81"/>
      <c r="I5" s="85"/>
      <c r="J5" s="85"/>
      <c r="K5" s="85"/>
      <c r="L5" s="85"/>
      <c r="M5" s="183"/>
      <c r="N5" s="79"/>
      <c r="O5" s="79"/>
      <c r="P5" s="85"/>
      <c r="Q5" s="85"/>
      <c r="R5" s="85"/>
      <c r="S5" s="85"/>
      <c r="T5" s="85"/>
      <c r="U5" s="85"/>
      <c r="V5" s="85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</row>
    <row r="6" spans="1:123" s="80" customFormat="1" ht="20.100000000000001" customHeight="1">
      <c r="A6" s="3601"/>
      <c r="B6" s="319" t="s">
        <v>605</v>
      </c>
      <c r="C6" s="319" t="s">
        <v>599</v>
      </c>
      <c r="D6" s="319" t="s">
        <v>568</v>
      </c>
      <c r="E6" s="319" t="s">
        <v>606</v>
      </c>
      <c r="F6" s="320" t="s">
        <v>607</v>
      </c>
      <c r="G6" s="321" t="s">
        <v>608</v>
      </c>
      <c r="H6" s="81"/>
      <c r="I6" s="85"/>
      <c r="J6" s="85"/>
      <c r="K6" s="85"/>
      <c r="L6" s="85"/>
      <c r="M6" s="85"/>
      <c r="N6" s="79"/>
      <c r="O6" s="79"/>
      <c r="P6" s="85"/>
      <c r="Q6" s="85"/>
      <c r="R6" s="85"/>
      <c r="S6" s="85"/>
      <c r="T6" s="85"/>
      <c r="U6" s="85"/>
      <c r="V6" s="85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9"/>
      <c r="DB6" s="79"/>
      <c r="DC6" s="79"/>
      <c r="DD6" s="79"/>
      <c r="DE6" s="79"/>
      <c r="DF6" s="79"/>
      <c r="DG6" s="79"/>
      <c r="DH6" s="79"/>
      <c r="DI6" s="79"/>
      <c r="DJ6" s="79"/>
      <c r="DK6" s="79"/>
      <c r="DL6" s="79"/>
      <c r="DM6" s="79"/>
      <c r="DN6" s="79"/>
      <c r="DO6" s="79"/>
      <c r="DP6" s="79"/>
      <c r="DQ6" s="79"/>
      <c r="DR6" s="79"/>
      <c r="DS6" s="79"/>
    </row>
    <row r="7" spans="1:123" s="80" customFormat="1" ht="21.95" customHeight="1">
      <c r="A7" s="269" t="s">
        <v>609</v>
      </c>
      <c r="B7" s="270">
        <f>SUM(B8,B73)</f>
        <v>8711827000</v>
      </c>
      <c r="C7" s="271">
        <f>+C8+C73</f>
        <v>1</v>
      </c>
      <c r="D7" s="270">
        <f>SUM(D8,D73)</f>
        <v>10222359000</v>
      </c>
      <c r="E7" s="271">
        <f>+E8+E73</f>
        <v>1</v>
      </c>
      <c r="F7" s="272">
        <f>B7-D7</f>
        <v>-1510532000</v>
      </c>
      <c r="G7" s="216">
        <f>+F7/D7</f>
        <v>-0.14776745758977941</v>
      </c>
      <c r="H7" s="81"/>
      <c r="I7" s="85"/>
      <c r="J7" s="85">
        <f>B9+B74</f>
        <v>3826014000</v>
      </c>
      <c r="K7" s="85"/>
      <c r="L7" s="85"/>
      <c r="M7" s="85"/>
      <c r="N7" s="79"/>
      <c r="O7" s="79"/>
      <c r="P7" s="85"/>
      <c r="Q7" s="85"/>
      <c r="R7" s="85"/>
      <c r="S7" s="85"/>
      <c r="T7" s="85"/>
      <c r="U7" s="85"/>
      <c r="V7" s="85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</row>
    <row r="8" spans="1:123" s="80" customFormat="1" ht="21.95" customHeight="1">
      <c r="A8" s="273" t="s">
        <v>700</v>
      </c>
      <c r="B8" s="274">
        <f>SUM(B9,B22,B35,B48,B56,B58,B60,B69,B71)</f>
        <v>6314513000</v>
      </c>
      <c r="C8" s="322">
        <f>+B8/B7</f>
        <v>0.72482075229455312</v>
      </c>
      <c r="D8" s="274">
        <f>SUM(D9,D22,D35,D48,D56,D58,D60,D69,D71)</f>
        <v>8034222000</v>
      </c>
      <c r="E8" s="322">
        <f>+D8/D7</f>
        <v>0.78594598370102242</v>
      </c>
      <c r="F8" s="276">
        <f>SUM(F9,F22,F35,F48,F56,F58,F60,F69,F71)</f>
        <v>-1719709000</v>
      </c>
      <c r="G8" s="277">
        <f>+F8/D8</f>
        <v>-0.21404798124821545</v>
      </c>
      <c r="H8" s="81"/>
      <c r="I8" s="85"/>
      <c r="J8" s="85"/>
      <c r="K8" s="85"/>
      <c r="L8" s="85"/>
      <c r="M8" s="85"/>
      <c r="N8" s="79"/>
      <c r="O8" s="79"/>
      <c r="P8" s="85"/>
      <c r="Q8" s="85"/>
      <c r="R8" s="85"/>
      <c r="S8" s="85"/>
      <c r="T8" s="85"/>
      <c r="U8" s="85"/>
      <c r="V8" s="85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  <c r="CL8" s="79"/>
      <c r="CM8" s="79"/>
      <c r="CN8" s="79"/>
      <c r="CO8" s="79"/>
      <c r="CP8" s="79"/>
      <c r="CQ8" s="79"/>
      <c r="CR8" s="79"/>
      <c r="CS8" s="79"/>
      <c r="CT8" s="79"/>
      <c r="CU8" s="79"/>
      <c r="CV8" s="79"/>
      <c r="CW8" s="79"/>
      <c r="CX8" s="79"/>
      <c r="CY8" s="79"/>
      <c r="CZ8" s="79"/>
      <c r="DA8" s="79"/>
      <c r="DB8" s="79"/>
      <c r="DC8" s="79"/>
      <c r="DD8" s="79"/>
      <c r="DE8" s="79"/>
      <c r="DF8" s="79"/>
      <c r="DG8" s="79"/>
      <c r="DH8" s="79"/>
      <c r="DI8" s="79"/>
      <c r="DJ8" s="79"/>
      <c r="DK8" s="79"/>
      <c r="DL8" s="79"/>
      <c r="DM8" s="79"/>
      <c r="DN8" s="79"/>
      <c r="DO8" s="79"/>
      <c r="DP8" s="79"/>
      <c r="DQ8" s="79"/>
      <c r="DR8" s="79"/>
      <c r="DS8" s="79"/>
    </row>
    <row r="9" spans="1:123" s="84" customFormat="1" ht="21.95" customHeight="1">
      <c r="A9" s="278" t="s">
        <v>699</v>
      </c>
      <c r="B9" s="279">
        <f>SUM(B10:B21)</f>
        <v>3523140000</v>
      </c>
      <c r="C9" s="280">
        <f>+B9/$B$7</f>
        <v>0.40440885706293295</v>
      </c>
      <c r="D9" s="279">
        <f>SUM(D10:D21)</f>
        <v>3101397000</v>
      </c>
      <c r="E9" s="280">
        <f>+D9/$D$7</f>
        <v>0.30339347307211573</v>
      </c>
      <c r="F9" s="281">
        <f>SUM(F10:F21)</f>
        <v>421743000</v>
      </c>
      <c r="G9" s="300">
        <f>+F9/D9</f>
        <v>0.13598484811844469</v>
      </c>
      <c r="H9" s="81"/>
      <c r="I9" s="177"/>
      <c r="J9" s="177"/>
      <c r="K9" s="177" t="s">
        <v>702</v>
      </c>
      <c r="L9" s="177" t="s">
        <v>703</v>
      </c>
      <c r="M9" s="177"/>
      <c r="N9" s="83"/>
      <c r="O9" s="83"/>
      <c r="P9" s="177"/>
      <c r="Q9" s="177"/>
      <c r="R9" s="177"/>
      <c r="S9" s="177"/>
      <c r="T9" s="177"/>
      <c r="U9" s="177"/>
      <c r="V9" s="177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83"/>
      <c r="CV9" s="83"/>
      <c r="CW9" s="83"/>
      <c r="CX9" s="83"/>
      <c r="CY9" s="83"/>
      <c r="CZ9" s="83"/>
      <c r="DA9" s="83"/>
      <c r="DB9" s="83"/>
      <c r="DC9" s="83"/>
      <c r="DD9" s="83"/>
      <c r="DE9" s="83"/>
      <c r="DF9" s="83"/>
      <c r="DG9" s="83"/>
      <c r="DH9" s="83"/>
      <c r="DI9" s="83"/>
      <c r="DJ9" s="83"/>
      <c r="DK9" s="83"/>
      <c r="DL9" s="83"/>
      <c r="DM9" s="83"/>
      <c r="DN9" s="83"/>
      <c r="DO9" s="83"/>
      <c r="DP9" s="83"/>
      <c r="DQ9" s="83"/>
      <c r="DR9" s="83"/>
      <c r="DS9" s="83"/>
    </row>
    <row r="10" spans="1:123" s="80" customFormat="1" ht="21.95" customHeight="1">
      <c r="A10" s="437" t="s">
        <v>610</v>
      </c>
      <c r="B10" s="3106">
        <f>'예산세출(사무국)'!Q8</f>
        <v>2200111000</v>
      </c>
      <c r="C10" s="3091">
        <f>+B10/$B$7</f>
        <v>0.25254300848719791</v>
      </c>
      <c r="D10" s="3106">
        <v>569927000</v>
      </c>
      <c r="E10" s="3091">
        <f>+D10/$D$7</f>
        <v>5.5752982261726473E-2</v>
      </c>
      <c r="F10" s="3107">
        <f>+B10-D10</f>
        <v>1630184000</v>
      </c>
      <c r="G10" s="3093">
        <f>+F10/D10</f>
        <v>2.8603382538465452</v>
      </c>
      <c r="H10" s="81"/>
      <c r="I10" s="85"/>
      <c r="J10" s="85" t="s">
        <v>574</v>
      </c>
      <c r="K10" s="162">
        <f>SUMIFS($B$10:$B$137,$A$10:$A$137,"사무국")</f>
        <v>3623469000</v>
      </c>
      <c r="L10" s="162">
        <f>SUMIF($A$10:$A$137,"사무국",$D$10:$D$137)</f>
        <v>2147350000</v>
      </c>
      <c r="M10" s="85">
        <v>2147350000</v>
      </c>
      <c r="N10" s="85">
        <f>L10-M10</f>
        <v>0</v>
      </c>
      <c r="O10" s="79" t="s">
        <v>2324</v>
      </c>
      <c r="P10" s="85">
        <f>B9</f>
        <v>3523140000</v>
      </c>
      <c r="Q10" s="85">
        <f t="shared" ref="Q10:R10" si="0">C9</f>
        <v>0.40440885706293295</v>
      </c>
      <c r="R10" s="85">
        <f t="shared" si="0"/>
        <v>3101397000</v>
      </c>
      <c r="S10" s="85">
        <v>5999764000</v>
      </c>
      <c r="T10" s="85"/>
      <c r="U10" s="85"/>
      <c r="V10" s="85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</row>
    <row r="11" spans="1:123" s="80" customFormat="1" ht="21.95" customHeight="1">
      <c r="A11" s="439" t="s">
        <v>611</v>
      </c>
      <c r="B11" s="3108">
        <f>'예산세출(마두)'!Q8</f>
        <v>12925000</v>
      </c>
      <c r="C11" s="3096">
        <f>+B11/$B$7</f>
        <v>1.4836153197257016E-3</v>
      </c>
      <c r="D11" s="3108">
        <v>518616000</v>
      </c>
      <c r="E11" s="3091">
        <f t="shared" ref="E11:E21" si="1">+D11/$D$7</f>
        <v>5.073349507682131E-2</v>
      </c>
      <c r="F11" s="3107">
        <f>+B11-D11</f>
        <v>-505691000</v>
      </c>
      <c r="G11" s="3098">
        <f t="shared" ref="G11:G55" si="2">+F11/D11</f>
        <v>-0.97507789964058189</v>
      </c>
      <c r="H11" s="81"/>
      <c r="I11" s="85"/>
      <c r="J11" s="85" t="s">
        <v>576</v>
      </c>
      <c r="K11" s="162">
        <f>SUMIFS($B$10:$B$137,$A$10:$A$137,"마두청소년수련관")</f>
        <v>1143863000</v>
      </c>
      <c r="L11" s="162">
        <f>SUMIF($A$10:$A$137,"마두청소년수련관",$D$10:$D$137)</f>
        <v>1644864000</v>
      </c>
      <c r="M11" s="85">
        <v>1644864000</v>
      </c>
      <c r="N11" s="85">
        <f t="shared" ref="N11:N21" si="3">L11-M11</f>
        <v>0</v>
      </c>
      <c r="O11" s="79" t="s">
        <v>2325</v>
      </c>
      <c r="P11" s="85">
        <f>B22</f>
        <v>1436607000</v>
      </c>
      <c r="Q11" s="85">
        <f t="shared" ref="Q11:R11" si="4">C22</f>
        <v>0.16490306797873741</v>
      </c>
      <c r="R11" s="85">
        <f t="shared" si="4"/>
        <v>1461948000</v>
      </c>
      <c r="S11" s="85"/>
      <c r="T11" s="85"/>
      <c r="U11" s="85"/>
      <c r="V11" s="85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9"/>
    </row>
    <row r="12" spans="1:123" s="80" customFormat="1" ht="21.95" customHeight="1">
      <c r="A12" s="439" t="s">
        <v>612</v>
      </c>
      <c r="B12" s="3108">
        <f>'예산세출(진로)'!Q8</f>
        <v>21248000</v>
      </c>
      <c r="C12" s="3096">
        <f t="shared" ref="C12:C104" si="5">+B12/$B$7</f>
        <v>2.4389832350894939E-3</v>
      </c>
      <c r="D12" s="3108">
        <v>191160000</v>
      </c>
      <c r="E12" s="3091">
        <f t="shared" si="1"/>
        <v>1.8700184566008686E-2</v>
      </c>
      <c r="F12" s="3107">
        <f t="shared" ref="F12:F21" si="6">+B12-D12</f>
        <v>-169912000</v>
      </c>
      <c r="G12" s="3098">
        <f t="shared" si="2"/>
        <v>-0.88884703912952501</v>
      </c>
      <c r="H12" s="81"/>
      <c r="I12" s="85"/>
      <c r="J12" s="85" t="s">
        <v>578</v>
      </c>
      <c r="K12" s="162">
        <f>SUMIFS($B$10:$B$137,$A$10:$A$137,"고양시청소년진로센터")</f>
        <v>61498000</v>
      </c>
      <c r="L12" s="162">
        <f>SUMIF($A$10:$A$137,"고양시청소년진로센터",$D$10:$D$137)</f>
        <v>656844000</v>
      </c>
      <c r="M12" s="85">
        <v>656844000</v>
      </c>
      <c r="N12" s="85">
        <f t="shared" si="3"/>
        <v>0</v>
      </c>
      <c r="O12" s="79" t="s">
        <v>2326</v>
      </c>
      <c r="P12" s="85">
        <f>B60</f>
        <v>16900000</v>
      </c>
      <c r="Q12" s="85">
        <f t="shared" ref="Q12:R12" si="7">C60</f>
        <v>1.9398915979392153E-3</v>
      </c>
      <c r="R12" s="85">
        <f t="shared" si="7"/>
        <v>378802000</v>
      </c>
      <c r="S12" s="85"/>
      <c r="T12" s="85"/>
      <c r="U12" s="85"/>
      <c r="V12" s="85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9"/>
    </row>
    <row r="13" spans="1:123" s="80" customFormat="1" ht="21.95" customHeight="1">
      <c r="A13" s="439" t="s">
        <v>613</v>
      </c>
      <c r="B13" s="3108">
        <f>'예산세출(성사)'!Q8</f>
        <v>37340000</v>
      </c>
      <c r="C13" s="3096">
        <f t="shared" si="5"/>
        <v>4.2861273530798993E-3</v>
      </c>
      <c r="D13" s="3108">
        <v>183764000</v>
      </c>
      <c r="E13" s="3096">
        <f t="shared" si="1"/>
        <v>1.7976672507784161E-2</v>
      </c>
      <c r="F13" s="3107">
        <f t="shared" si="6"/>
        <v>-146424000</v>
      </c>
      <c r="G13" s="3098">
        <f t="shared" si="2"/>
        <v>-0.79680459720075747</v>
      </c>
      <c r="H13" s="81"/>
      <c r="I13" s="85"/>
      <c r="J13" s="85" t="s">
        <v>580</v>
      </c>
      <c r="K13" s="162">
        <f>SUMIFS($B$10:$B$137,$A$10:$A$137,"성사청소년문화의집")</f>
        <v>215312000</v>
      </c>
      <c r="L13" s="162">
        <f>SUMIF($A$10:$A$137,"성사청소년문화의집",$D$10:$D$137)</f>
        <v>587720000</v>
      </c>
      <c r="M13" s="85">
        <v>587720000</v>
      </c>
      <c r="N13" s="85">
        <f t="shared" si="3"/>
        <v>0</v>
      </c>
      <c r="O13" s="79" t="s">
        <v>2327</v>
      </c>
      <c r="P13" s="85">
        <f>B69</f>
        <v>91448000</v>
      </c>
      <c r="Q13" s="85">
        <f t="shared" ref="Q13:R13" si="8">C69</f>
        <v>1.0496994488067773E-2</v>
      </c>
      <c r="R13" s="85">
        <f t="shared" si="8"/>
        <v>91448000</v>
      </c>
      <c r="S13" s="85"/>
      <c r="T13" s="85"/>
      <c r="U13" s="85"/>
      <c r="V13" s="85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9"/>
      <c r="DC13" s="79"/>
      <c r="DD13" s="79"/>
      <c r="DE13" s="79"/>
      <c r="DF13" s="79"/>
      <c r="DG13" s="79"/>
      <c r="DH13" s="79"/>
      <c r="DI13" s="79"/>
      <c r="DJ13" s="79"/>
      <c r="DK13" s="79"/>
      <c r="DL13" s="79"/>
      <c r="DM13" s="79"/>
      <c r="DN13" s="79"/>
      <c r="DO13" s="79"/>
      <c r="DP13" s="79"/>
      <c r="DQ13" s="79"/>
      <c r="DR13" s="79"/>
      <c r="DS13" s="79"/>
    </row>
    <row r="14" spans="1:123" s="80" customFormat="1" ht="21.95" customHeight="1">
      <c r="A14" s="439" t="s">
        <v>614</v>
      </c>
      <c r="B14" s="3108">
        <f>'예산세출(탄현)'!Q8</f>
        <v>32717000</v>
      </c>
      <c r="C14" s="3096">
        <f t="shared" si="5"/>
        <v>3.7554694325312014E-3</v>
      </c>
      <c r="D14" s="3108">
        <v>144144000</v>
      </c>
      <c r="E14" s="3096">
        <f t="shared" si="1"/>
        <v>1.4100854802692802E-2</v>
      </c>
      <c r="F14" s="3107">
        <f t="shared" si="6"/>
        <v>-111427000</v>
      </c>
      <c r="G14" s="3098">
        <f t="shared" si="2"/>
        <v>-0.77302558552558553</v>
      </c>
      <c r="H14" s="81"/>
      <c r="I14" s="85"/>
      <c r="J14" s="85" t="s">
        <v>582</v>
      </c>
      <c r="K14" s="162">
        <f>SUMIFS($B$10:$B$137,$A$10:$A$137,"탄현청소년문화의집")</f>
        <v>214777000</v>
      </c>
      <c r="L14" s="162">
        <f>SUMIF($A$10:$A$137,"탄현청소년문화의집",$D$10:$D$137)</f>
        <v>358832000</v>
      </c>
      <c r="M14" s="85">
        <v>358832000</v>
      </c>
      <c r="N14" s="85">
        <f t="shared" si="3"/>
        <v>0</v>
      </c>
      <c r="O14" s="79" t="s">
        <v>2328</v>
      </c>
      <c r="P14" s="85">
        <f>B71</f>
        <v>0</v>
      </c>
      <c r="Q14" s="85">
        <f t="shared" ref="Q14:R14" si="9">C71</f>
        <v>0</v>
      </c>
      <c r="R14" s="85">
        <f t="shared" si="9"/>
        <v>20000000</v>
      </c>
      <c r="S14" s="85"/>
      <c r="T14" s="85"/>
      <c r="U14" s="85"/>
      <c r="V14" s="85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9"/>
    </row>
    <row r="15" spans="1:123" s="80" customFormat="1" ht="21.95" customHeight="1">
      <c r="A15" s="439" t="s">
        <v>615</v>
      </c>
      <c r="B15" s="3108">
        <f>'예산세출(주교)'!Q8</f>
        <v>0</v>
      </c>
      <c r="C15" s="3096">
        <f t="shared" si="5"/>
        <v>0</v>
      </c>
      <c r="D15" s="3108">
        <v>46863000</v>
      </c>
      <c r="E15" s="3091">
        <f t="shared" si="1"/>
        <v>4.5843625722790599E-3</v>
      </c>
      <c r="F15" s="3107">
        <f t="shared" si="6"/>
        <v>-46863000</v>
      </c>
      <c r="G15" s="3098">
        <f t="shared" si="2"/>
        <v>-1</v>
      </c>
      <c r="H15" s="81"/>
      <c r="I15" s="85"/>
      <c r="J15" s="85" t="s">
        <v>584</v>
      </c>
      <c r="K15" s="162">
        <f>SUMIFS($B$10:$B$137,$A$10:$A$137,"주교동청소년카페")</f>
        <v>16051000</v>
      </c>
      <c r="L15" s="162">
        <f>SUMIF($A$10:$A$137,"주교동청소년카페",$D$10:$D$137)</f>
        <v>106242000</v>
      </c>
      <c r="M15" s="85">
        <v>106242000</v>
      </c>
      <c r="N15" s="85">
        <f t="shared" si="3"/>
        <v>0</v>
      </c>
      <c r="O15" s="79" t="s">
        <v>2329</v>
      </c>
      <c r="P15" s="85">
        <f>B35</f>
        <v>1246418000</v>
      </c>
      <c r="Q15" s="85">
        <f t="shared" ref="Q15:R15" si="10">C35</f>
        <v>0.1430719411668758</v>
      </c>
      <c r="R15" s="85">
        <f t="shared" si="10"/>
        <v>1376686000</v>
      </c>
      <c r="S15" s="85">
        <f>R15-R18</f>
        <v>946169000</v>
      </c>
      <c r="T15" s="85"/>
      <c r="U15" s="85"/>
      <c r="V15" s="85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79"/>
      <c r="CU15" s="79"/>
      <c r="CV15" s="79"/>
      <c r="CW15" s="79"/>
      <c r="CX15" s="79"/>
      <c r="CY15" s="79"/>
      <c r="CZ15" s="79"/>
      <c r="DA15" s="79"/>
      <c r="DB15" s="79"/>
      <c r="DC15" s="79"/>
      <c r="DD15" s="79"/>
      <c r="DE15" s="79"/>
      <c r="DF15" s="79"/>
      <c r="DG15" s="79"/>
      <c r="DH15" s="79"/>
      <c r="DI15" s="79"/>
      <c r="DJ15" s="79"/>
      <c r="DK15" s="79"/>
      <c r="DL15" s="79"/>
      <c r="DM15" s="79"/>
      <c r="DN15" s="79"/>
      <c r="DO15" s="79"/>
      <c r="DP15" s="79"/>
      <c r="DQ15" s="79"/>
      <c r="DR15" s="79"/>
      <c r="DS15" s="79"/>
    </row>
    <row r="16" spans="1:123" s="80" customFormat="1" ht="21.95" customHeight="1">
      <c r="A16" s="439" t="s">
        <v>616</v>
      </c>
      <c r="B16" s="3108">
        <f>'예산세출(일산서구)'!Q8</f>
        <v>130434000</v>
      </c>
      <c r="C16" s="3096">
        <f t="shared" si="5"/>
        <v>1.4972060395597847E-2</v>
      </c>
      <c r="D16" s="3108">
        <v>500000000</v>
      </c>
      <c r="E16" s="3096">
        <f t="shared" si="1"/>
        <v>4.8912389009229673E-2</v>
      </c>
      <c r="F16" s="3107">
        <f t="shared" si="6"/>
        <v>-369566000</v>
      </c>
      <c r="G16" s="3098">
        <f t="shared" si="2"/>
        <v>-0.73913200000000001</v>
      </c>
      <c r="H16" s="81"/>
      <c r="I16" s="85"/>
      <c r="J16" s="85" t="s">
        <v>583</v>
      </c>
      <c r="K16" s="162">
        <f>SUMIFS($B$10:$B$137,$A$10:$A$137,"일산서구청소년수련관")</f>
        <v>914627000</v>
      </c>
      <c r="L16" s="162">
        <f>SUMIF($A$10:$A$137,"일산서구청소년수련관",$D$10:$D$137)</f>
        <v>1345286000</v>
      </c>
      <c r="M16" s="85">
        <v>1345286000</v>
      </c>
      <c r="N16" s="85">
        <f t="shared" si="3"/>
        <v>0</v>
      </c>
      <c r="O16" s="79"/>
      <c r="P16" s="85">
        <f>SUM(P10:P15)</f>
        <v>6314513000</v>
      </c>
      <c r="Q16" s="85"/>
      <c r="R16" s="85">
        <f>SUM(R10:R15)</f>
        <v>6430281000</v>
      </c>
      <c r="S16" s="85"/>
      <c r="T16" s="85"/>
      <c r="U16" s="85"/>
      <c r="V16" s="85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/>
      <c r="DS16" s="79"/>
    </row>
    <row r="17" spans="1:123" s="80" customFormat="1" ht="21.95" customHeight="1">
      <c r="A17" s="439" t="s">
        <v>617</v>
      </c>
      <c r="B17" s="3108">
        <f>'예산세출(토당)'!Q8</f>
        <v>612394000</v>
      </c>
      <c r="C17" s="3096">
        <f t="shared" si="5"/>
        <v>7.0294554747241889E-2</v>
      </c>
      <c r="D17" s="3108">
        <v>576692000</v>
      </c>
      <c r="E17" s="3091">
        <f t="shared" si="1"/>
        <v>5.6414766885021353E-2</v>
      </c>
      <c r="F17" s="3107">
        <f t="shared" si="6"/>
        <v>35702000</v>
      </c>
      <c r="G17" s="3098">
        <f t="shared" si="2"/>
        <v>6.1908262989602766E-2</v>
      </c>
      <c r="H17" s="81"/>
      <c r="I17" s="85"/>
      <c r="J17" s="85" t="s">
        <v>585</v>
      </c>
      <c r="K17" s="162">
        <f>SUMIFS($B$10:$B$137,$A$10:$A$137,"토당청소년수련관")</f>
        <v>1749582000</v>
      </c>
      <c r="L17" s="162">
        <f>SUMIF($A$10:$A$137,"토당청소년수련관",$D$10:$D$137)</f>
        <v>1947236000</v>
      </c>
      <c r="M17" s="85">
        <v>1947236000</v>
      </c>
      <c r="N17" s="85">
        <f t="shared" si="3"/>
        <v>0</v>
      </c>
      <c r="O17" s="79"/>
      <c r="P17" s="85"/>
      <c r="Q17" s="85"/>
      <c r="R17" s="85"/>
      <c r="S17" s="85"/>
      <c r="T17" s="85"/>
      <c r="U17" s="85"/>
      <c r="V17" s="85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79"/>
    </row>
    <row r="18" spans="1:123" s="80" customFormat="1" ht="21.95" customHeight="1">
      <c r="A18" s="439" t="s">
        <v>594</v>
      </c>
      <c r="B18" s="3108">
        <f>'예산세출(상담)'!Q8</f>
        <v>309399000</v>
      </c>
      <c r="C18" s="3096">
        <f t="shared" si="5"/>
        <v>3.5514823698863628E-2</v>
      </c>
      <c r="D18" s="3108">
        <v>224951000</v>
      </c>
      <c r="E18" s="3091">
        <f t="shared" si="1"/>
        <v>2.2005781640030447E-2</v>
      </c>
      <c r="F18" s="3107">
        <f t="shared" si="6"/>
        <v>84448000</v>
      </c>
      <c r="G18" s="3098">
        <f t="shared" si="2"/>
        <v>0.37540619957235133</v>
      </c>
      <c r="H18" s="81"/>
      <c r="I18" s="85"/>
      <c r="J18" s="85" t="s">
        <v>438</v>
      </c>
      <c r="K18" s="162">
        <f>SUMIFS($B$10:$B$137,$A$10:$A$137,"고양시청소년상담복지센터")</f>
        <v>424075000</v>
      </c>
      <c r="L18" s="162">
        <f>SUMIF($A$10:$A$137,"고양시청소년상담복지센터",$D$10:$D$137)</f>
        <v>1115590000</v>
      </c>
      <c r="M18" s="85">
        <v>1115590000</v>
      </c>
      <c r="N18" s="85">
        <f t="shared" si="3"/>
        <v>0</v>
      </c>
      <c r="O18" s="79"/>
      <c r="P18" s="85">
        <v>5934238000</v>
      </c>
      <c r="Q18" s="85"/>
      <c r="R18" s="85">
        <f>R16-S10</f>
        <v>430517000</v>
      </c>
      <c r="S18" s="85"/>
      <c r="T18" s="85"/>
      <c r="U18" s="85"/>
      <c r="V18" s="85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79"/>
      <c r="CO18" s="79"/>
      <c r="CP18" s="79"/>
      <c r="CQ18" s="79"/>
      <c r="CR18" s="79"/>
      <c r="CS18" s="79"/>
      <c r="CT18" s="79"/>
      <c r="CU18" s="79"/>
      <c r="CV18" s="79"/>
      <c r="CW18" s="79"/>
      <c r="CX18" s="79"/>
      <c r="CY18" s="79"/>
      <c r="CZ18" s="79"/>
      <c r="DA18" s="79"/>
      <c r="DB18" s="79"/>
      <c r="DC18" s="79"/>
      <c r="DD18" s="79"/>
      <c r="DE18" s="79"/>
      <c r="DF18" s="79"/>
      <c r="DG18" s="79"/>
      <c r="DH18" s="79"/>
      <c r="DI18" s="79"/>
      <c r="DJ18" s="79"/>
      <c r="DK18" s="79"/>
      <c r="DL18" s="79"/>
      <c r="DM18" s="79"/>
      <c r="DN18" s="79"/>
      <c r="DO18" s="79"/>
      <c r="DP18" s="79"/>
      <c r="DQ18" s="79"/>
      <c r="DR18" s="79"/>
      <c r="DS18" s="79"/>
    </row>
    <row r="19" spans="1:123" s="80" customFormat="1" ht="21.95" customHeight="1">
      <c r="A19" s="439" t="s">
        <v>590</v>
      </c>
      <c r="B19" s="3108">
        <f>'예산세출(화정)'!Q8</f>
        <v>62617000</v>
      </c>
      <c r="C19" s="3096">
        <f t="shared" si="5"/>
        <v>7.1875853365775053E-3</v>
      </c>
      <c r="D19" s="3108">
        <f>'예산세출(화정)'!R8</f>
        <v>63200000</v>
      </c>
      <c r="E19" s="3096">
        <f t="shared" si="1"/>
        <v>6.1825259707666306E-3</v>
      </c>
      <c r="F19" s="3107">
        <f t="shared" si="6"/>
        <v>-583000</v>
      </c>
      <c r="G19" s="3098">
        <f t="shared" si="2"/>
        <v>-9.2246835443037974E-3</v>
      </c>
      <c r="H19" s="81"/>
      <c r="I19" s="85"/>
      <c r="J19" s="85" t="s">
        <v>587</v>
      </c>
      <c r="K19" s="162">
        <f>SUMIFS($B$10:$B$137,$A$10:$A$137,"화정청소년카페")</f>
        <v>155824000</v>
      </c>
      <c r="L19" s="162">
        <f>SUMIF($A$10:$A$137,"화정청소년카페",$D$10:$D$137)</f>
        <v>153106000</v>
      </c>
      <c r="M19" s="85">
        <v>153106000</v>
      </c>
      <c r="N19" s="85">
        <f t="shared" si="3"/>
        <v>0</v>
      </c>
      <c r="O19" s="79"/>
      <c r="P19" s="85"/>
      <c r="Q19" s="85"/>
      <c r="R19" s="85"/>
      <c r="S19" s="85"/>
      <c r="T19" s="85"/>
      <c r="U19" s="85"/>
      <c r="V19" s="85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  <c r="CE19" s="79"/>
      <c r="CF19" s="79"/>
      <c r="CG19" s="79"/>
      <c r="CH19" s="79"/>
      <c r="CI19" s="79"/>
      <c r="CJ19" s="79"/>
      <c r="CK19" s="79"/>
      <c r="CL19" s="79"/>
      <c r="CM19" s="79"/>
      <c r="CN19" s="79"/>
      <c r="CO19" s="79"/>
      <c r="CP19" s="79"/>
      <c r="CQ19" s="79"/>
      <c r="CR19" s="79"/>
      <c r="CS19" s="79"/>
      <c r="CT19" s="79"/>
      <c r="CU19" s="79"/>
      <c r="CV19" s="79"/>
      <c r="CW19" s="79"/>
      <c r="CX19" s="79"/>
      <c r="CY19" s="79"/>
      <c r="CZ19" s="79"/>
      <c r="DA19" s="79"/>
      <c r="DB19" s="79"/>
      <c r="DC19" s="79"/>
      <c r="DD19" s="79"/>
      <c r="DE19" s="79"/>
      <c r="DF19" s="79"/>
      <c r="DG19" s="79"/>
      <c r="DH19" s="79"/>
      <c r="DI19" s="79"/>
      <c r="DJ19" s="79"/>
      <c r="DK19" s="79"/>
      <c r="DL19" s="79"/>
      <c r="DM19" s="79"/>
      <c r="DN19" s="79"/>
      <c r="DO19" s="79"/>
      <c r="DP19" s="79"/>
      <c r="DQ19" s="79"/>
      <c r="DR19" s="79"/>
      <c r="DS19" s="79"/>
    </row>
    <row r="20" spans="1:123" s="80" customFormat="1" ht="21.95" customHeight="1">
      <c r="A20" s="439" t="s">
        <v>499</v>
      </c>
      <c r="B20" s="3108">
        <f>'예산세출(백마)'!Q8</f>
        <v>57190000</v>
      </c>
      <c r="C20" s="3096">
        <f t="shared" si="5"/>
        <v>6.5646390820203382E-3</v>
      </c>
      <c r="D20" s="3108">
        <v>44880000</v>
      </c>
      <c r="E20" s="3091">
        <f t="shared" si="1"/>
        <v>4.3903760374684551E-3</v>
      </c>
      <c r="F20" s="3107">
        <f t="shared" si="6"/>
        <v>12310000</v>
      </c>
      <c r="G20" s="3098">
        <f t="shared" si="2"/>
        <v>0.27428698752228164</v>
      </c>
      <c r="H20" s="81"/>
      <c r="I20" s="85"/>
      <c r="J20" s="85" t="s">
        <v>499</v>
      </c>
      <c r="K20" s="162">
        <f>SUMIFS($B$10:$B$137,$A$10:$A$137,"백마역청소년카페")</f>
        <v>101394000</v>
      </c>
      <c r="L20" s="162">
        <f>SUMIF($A$10:$A$137,"백마역청소년카페",$D$10:$D$137)</f>
        <v>89509000</v>
      </c>
      <c r="M20" s="85">
        <v>89509000</v>
      </c>
      <c r="N20" s="85">
        <f t="shared" si="3"/>
        <v>0</v>
      </c>
      <c r="O20" s="79"/>
      <c r="P20" s="85">
        <f>P16-P18</f>
        <v>380275000</v>
      </c>
      <c r="Q20" s="85"/>
      <c r="R20" s="85"/>
      <c r="S20" s="85"/>
      <c r="T20" s="85"/>
      <c r="U20" s="85"/>
      <c r="V20" s="85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/>
      <c r="CR20" s="79"/>
      <c r="CS20" s="79"/>
      <c r="CT20" s="79"/>
      <c r="CU20" s="79"/>
      <c r="CV20" s="79"/>
      <c r="CW20" s="79"/>
      <c r="CX20" s="79"/>
      <c r="CY20" s="79"/>
      <c r="CZ20" s="79"/>
      <c r="DA20" s="79"/>
      <c r="DB20" s="79"/>
      <c r="DC20" s="79"/>
      <c r="DD20" s="79"/>
      <c r="DE20" s="79"/>
      <c r="DF20" s="79"/>
      <c r="DG20" s="79"/>
      <c r="DH20" s="79"/>
      <c r="DI20" s="79"/>
      <c r="DJ20" s="79"/>
      <c r="DK20" s="79"/>
      <c r="DL20" s="79"/>
      <c r="DM20" s="79"/>
      <c r="DN20" s="79"/>
      <c r="DO20" s="79"/>
      <c r="DP20" s="79"/>
      <c r="DQ20" s="79"/>
      <c r="DR20" s="79"/>
      <c r="DS20" s="79"/>
    </row>
    <row r="21" spans="1:123" s="80" customFormat="1" ht="21.95" customHeight="1">
      <c r="A21" s="441" t="s">
        <v>531</v>
      </c>
      <c r="B21" s="3153">
        <f>'예산세출(능곡)'!Q8</f>
        <v>46765000</v>
      </c>
      <c r="C21" s="3112">
        <f t="shared" si="5"/>
        <v>5.3679899750075383E-3</v>
      </c>
      <c r="D21" s="3153">
        <f>'예산세출(능곡)'!R8</f>
        <v>37200000</v>
      </c>
      <c r="E21" s="3540">
        <f t="shared" si="1"/>
        <v>3.6390817422866876E-3</v>
      </c>
      <c r="F21" s="3154">
        <f t="shared" si="6"/>
        <v>9565000</v>
      </c>
      <c r="G21" s="3114">
        <f t="shared" si="2"/>
        <v>0.25712365591397851</v>
      </c>
      <c r="H21" s="81"/>
      <c r="I21" s="85"/>
      <c r="J21" s="85" t="s">
        <v>531</v>
      </c>
      <c r="K21" s="162">
        <f>SUMIFS($B$10:$B$137,$A$10:$A$137,"능곡역청소년카페")</f>
        <v>91355000</v>
      </c>
      <c r="L21" s="162">
        <f>SUMIF($A$10:$A$137,"능곡역청소년카페",$D$10:$D$137)</f>
        <v>69780000</v>
      </c>
      <c r="M21" s="85">
        <v>69780000</v>
      </c>
      <c r="N21" s="85">
        <f t="shared" si="3"/>
        <v>0</v>
      </c>
      <c r="O21" s="79"/>
      <c r="P21" s="85"/>
      <c r="Q21" s="85"/>
      <c r="R21" s="85"/>
      <c r="S21" s="85"/>
      <c r="T21" s="85"/>
      <c r="U21" s="85"/>
      <c r="V21" s="85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79"/>
      <c r="CO21" s="79"/>
      <c r="CP21" s="79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79"/>
      <c r="DB21" s="79"/>
      <c r="DC21" s="79"/>
      <c r="DD21" s="79"/>
      <c r="DE21" s="79"/>
      <c r="DF21" s="79"/>
      <c r="DG21" s="79"/>
      <c r="DH21" s="79"/>
      <c r="DI21" s="79"/>
      <c r="DJ21" s="79"/>
      <c r="DK21" s="79"/>
      <c r="DL21" s="79"/>
      <c r="DM21" s="79"/>
      <c r="DN21" s="79"/>
      <c r="DO21" s="79"/>
      <c r="DP21" s="79"/>
      <c r="DQ21" s="79"/>
      <c r="DR21" s="79"/>
      <c r="DS21" s="79"/>
    </row>
    <row r="22" spans="1:123" s="80" customFormat="1" ht="21.95" customHeight="1">
      <c r="A22" s="283" t="s">
        <v>209</v>
      </c>
      <c r="B22" s="284">
        <f>SUM(B23:B34)</f>
        <v>1436607000</v>
      </c>
      <c r="C22" s="285">
        <f>B22/$B$7</f>
        <v>0.16490306797873741</v>
      </c>
      <c r="D22" s="284">
        <f>SUM(D23:D34)</f>
        <v>1461948000</v>
      </c>
      <c r="E22" s="285">
        <f>+D22/$D$7</f>
        <v>0.14301473857453059</v>
      </c>
      <c r="F22" s="287">
        <f>SUM(F23:F34)</f>
        <v>-25341000</v>
      </c>
      <c r="G22" s="288">
        <f t="shared" si="2"/>
        <v>-1.7333721856044128E-2</v>
      </c>
      <c r="H22" s="86"/>
      <c r="I22" s="85"/>
      <c r="J22" s="85"/>
      <c r="K22" s="85">
        <f>SUM(K10:K21)</f>
        <v>8711827000</v>
      </c>
      <c r="L22" s="85">
        <f>SUM(L10:L21)</f>
        <v>10222359000</v>
      </c>
      <c r="M22" s="85"/>
      <c r="N22" s="79"/>
      <c r="O22" s="79"/>
      <c r="P22" s="85"/>
      <c r="Q22" s="85"/>
      <c r="R22" s="85"/>
      <c r="S22" s="85"/>
      <c r="T22" s="85"/>
      <c r="U22" s="85"/>
      <c r="V22" s="85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  <c r="DK22" s="79"/>
      <c r="DL22" s="79"/>
      <c r="DM22" s="79"/>
      <c r="DN22" s="79"/>
      <c r="DO22" s="79"/>
      <c r="DP22" s="79"/>
      <c r="DQ22" s="79"/>
      <c r="DR22" s="79"/>
      <c r="DS22" s="79"/>
    </row>
    <row r="23" spans="1:123" s="80" customFormat="1" ht="21.95" customHeight="1">
      <c r="A23" s="447" t="s">
        <v>601</v>
      </c>
      <c r="B23" s="3125">
        <f>'예산세출(사무국)'!Q70</f>
        <v>396810000</v>
      </c>
      <c r="C23" s="3126">
        <f>+B23/$B$7</f>
        <v>4.5548425146642604E-2</v>
      </c>
      <c r="D23" s="3125">
        <v>313140000</v>
      </c>
      <c r="E23" s="3126">
        <f>+D23/$D$7</f>
        <v>3.0632850988700357E-2</v>
      </c>
      <c r="F23" s="3127">
        <f>+B23-D23</f>
        <v>83670000</v>
      </c>
      <c r="G23" s="3128">
        <f t="shared" si="2"/>
        <v>0.26719678099252731</v>
      </c>
      <c r="H23" s="81"/>
      <c r="I23" s="85"/>
      <c r="J23" s="85"/>
      <c r="K23" s="85"/>
      <c r="L23" s="85"/>
      <c r="M23" s="85"/>
      <c r="N23" s="79"/>
      <c r="O23" s="79"/>
      <c r="P23" s="85"/>
      <c r="Q23" s="85"/>
      <c r="R23" s="85"/>
      <c r="S23" s="85"/>
      <c r="T23" s="85"/>
      <c r="U23" s="85"/>
      <c r="V23" s="85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79"/>
      <c r="CD23" s="79"/>
      <c r="CE23" s="79"/>
      <c r="CF23" s="79"/>
      <c r="CG23" s="79"/>
      <c r="CH23" s="79"/>
      <c r="CI23" s="79"/>
      <c r="CJ23" s="79"/>
      <c r="CK23" s="79"/>
      <c r="CL23" s="79"/>
      <c r="CM23" s="79"/>
      <c r="CN23" s="79"/>
      <c r="CO23" s="79"/>
      <c r="CP23" s="79"/>
      <c r="CQ23" s="79"/>
      <c r="CR23" s="79"/>
      <c r="CS23" s="79"/>
      <c r="CT23" s="79"/>
      <c r="CU23" s="79"/>
      <c r="CV23" s="79"/>
      <c r="CW23" s="79"/>
      <c r="CX23" s="79"/>
      <c r="CY23" s="79"/>
      <c r="CZ23" s="79"/>
      <c r="DA23" s="79"/>
      <c r="DB23" s="79"/>
      <c r="DC23" s="79"/>
      <c r="DD23" s="79"/>
      <c r="DE23" s="79"/>
      <c r="DF23" s="79"/>
      <c r="DG23" s="79"/>
      <c r="DH23" s="79"/>
      <c r="DI23" s="79"/>
      <c r="DJ23" s="79"/>
      <c r="DK23" s="79"/>
      <c r="DL23" s="79"/>
      <c r="DM23" s="79"/>
      <c r="DN23" s="79"/>
      <c r="DO23" s="79"/>
      <c r="DP23" s="79"/>
      <c r="DQ23" s="79"/>
      <c r="DR23" s="79"/>
      <c r="DS23" s="79"/>
    </row>
    <row r="24" spans="1:123" s="80" customFormat="1" ht="21.95" customHeight="1">
      <c r="A24" s="437" t="s">
        <v>591</v>
      </c>
      <c r="B24" s="3106">
        <f>'예산세출(마두)'!Q31</f>
        <v>234884000</v>
      </c>
      <c r="C24" s="3091">
        <f t="shared" si="5"/>
        <v>2.6961508762742878E-2</v>
      </c>
      <c r="D24" s="3106">
        <v>274384000</v>
      </c>
      <c r="E24" s="3091">
        <f t="shared" ref="E24:E136" si="11">+D24/$D$7</f>
        <v>2.6841553891816947E-2</v>
      </c>
      <c r="F24" s="3118">
        <f t="shared" ref="F24:F34" si="12">+B24-D24</f>
        <v>-39500000</v>
      </c>
      <c r="G24" s="3093">
        <f t="shared" si="2"/>
        <v>-0.14395883141874161</v>
      </c>
      <c r="H24" s="81"/>
      <c r="I24" s="85"/>
      <c r="J24" s="85"/>
      <c r="K24" s="85"/>
      <c r="L24" s="85"/>
      <c r="M24" s="85"/>
      <c r="N24" s="79"/>
      <c r="O24" s="79"/>
      <c r="P24" s="85"/>
      <c r="Q24" s="85"/>
      <c r="R24" s="85"/>
      <c r="S24" s="85"/>
      <c r="T24" s="85"/>
      <c r="U24" s="85"/>
      <c r="V24" s="85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  <c r="BZ24" s="79"/>
      <c r="CA24" s="79"/>
      <c r="CB24" s="79"/>
      <c r="CC24" s="79"/>
      <c r="CD24" s="79"/>
      <c r="CE24" s="79"/>
      <c r="CF24" s="79"/>
      <c r="CG24" s="79"/>
      <c r="CH24" s="79"/>
      <c r="CI24" s="79"/>
      <c r="CJ24" s="79"/>
      <c r="CK24" s="79"/>
      <c r="CL24" s="79"/>
      <c r="CM24" s="79"/>
      <c r="CN24" s="79"/>
      <c r="CO24" s="79"/>
      <c r="CP24" s="79"/>
      <c r="CQ24" s="79"/>
      <c r="CR24" s="79"/>
      <c r="CS24" s="79"/>
      <c r="CT24" s="79"/>
      <c r="CU24" s="79"/>
      <c r="CV24" s="79"/>
      <c r="CW24" s="79"/>
      <c r="CX24" s="79"/>
      <c r="CY24" s="79"/>
      <c r="CZ24" s="79"/>
      <c r="DA24" s="79"/>
      <c r="DB24" s="79"/>
      <c r="DC24" s="79"/>
      <c r="DD24" s="79"/>
      <c r="DE24" s="79"/>
      <c r="DF24" s="79"/>
      <c r="DG24" s="79"/>
      <c r="DH24" s="79"/>
      <c r="DI24" s="79"/>
      <c r="DJ24" s="79"/>
      <c r="DK24" s="79"/>
      <c r="DL24" s="79"/>
      <c r="DM24" s="79"/>
      <c r="DN24" s="79"/>
      <c r="DO24" s="79"/>
      <c r="DP24" s="79"/>
      <c r="DQ24" s="79"/>
      <c r="DR24" s="79"/>
      <c r="DS24" s="79"/>
    </row>
    <row r="25" spans="1:123" s="80" customFormat="1" ht="21.95" customHeight="1">
      <c r="A25" s="437" t="s">
        <v>602</v>
      </c>
      <c r="B25" s="3106">
        <f>'예산세출(진로)'!Q17</f>
        <v>38310000</v>
      </c>
      <c r="C25" s="3091">
        <f t="shared" si="5"/>
        <v>4.3974702436125048E-3</v>
      </c>
      <c r="D25" s="3106">
        <v>51208000</v>
      </c>
      <c r="E25" s="3091">
        <f t="shared" si="11"/>
        <v>5.0094112327692657E-3</v>
      </c>
      <c r="F25" s="3118">
        <f t="shared" si="12"/>
        <v>-12898000</v>
      </c>
      <c r="G25" s="3093">
        <f t="shared" si="2"/>
        <v>-0.2518747070770192</v>
      </c>
      <c r="H25" s="81"/>
      <c r="I25" s="85" t="s">
        <v>2953</v>
      </c>
      <c r="J25" s="85">
        <f>B9</f>
        <v>3523140000</v>
      </c>
      <c r="K25" s="85"/>
      <c r="L25" s="85"/>
      <c r="M25" s="85">
        <f>SUM(J25:L25)</f>
        <v>3523140000</v>
      </c>
      <c r="N25" s="79"/>
      <c r="O25" s="79"/>
      <c r="P25" s="85"/>
      <c r="Q25" s="85"/>
      <c r="R25" s="85"/>
      <c r="S25" s="85"/>
      <c r="T25" s="85"/>
      <c r="U25" s="85"/>
      <c r="V25" s="85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79"/>
      <c r="BU25" s="79"/>
      <c r="BV25" s="79"/>
      <c r="BW25" s="79"/>
      <c r="BX25" s="79"/>
      <c r="BY25" s="79"/>
      <c r="BZ25" s="79"/>
      <c r="CA25" s="79"/>
      <c r="CB25" s="79"/>
      <c r="CC25" s="79"/>
      <c r="CD25" s="79"/>
      <c r="CE25" s="79"/>
      <c r="CF25" s="79"/>
      <c r="CG25" s="79"/>
      <c r="CH25" s="79"/>
      <c r="CI25" s="79"/>
      <c r="CJ25" s="79"/>
      <c r="CK25" s="79"/>
      <c r="CL25" s="79"/>
      <c r="CM25" s="79"/>
      <c r="CN25" s="79"/>
      <c r="CO25" s="79"/>
      <c r="CP25" s="79"/>
      <c r="CQ25" s="79"/>
      <c r="CR25" s="79"/>
      <c r="CS25" s="79"/>
      <c r="CT25" s="79"/>
      <c r="CU25" s="79"/>
      <c r="CV25" s="79"/>
      <c r="CW25" s="79"/>
      <c r="CX25" s="79"/>
      <c r="CY25" s="79"/>
      <c r="CZ25" s="79"/>
      <c r="DA25" s="79"/>
      <c r="DB25" s="79"/>
      <c r="DC25" s="79"/>
      <c r="DD25" s="79"/>
      <c r="DE25" s="79"/>
      <c r="DF25" s="79"/>
      <c r="DG25" s="79"/>
      <c r="DH25" s="79"/>
      <c r="DI25" s="79"/>
      <c r="DJ25" s="79"/>
      <c r="DK25" s="79"/>
      <c r="DL25" s="79"/>
      <c r="DM25" s="79"/>
      <c r="DN25" s="79"/>
      <c r="DO25" s="79"/>
      <c r="DP25" s="79"/>
      <c r="DQ25" s="79"/>
      <c r="DR25" s="79"/>
      <c r="DS25" s="79"/>
    </row>
    <row r="26" spans="1:123" s="80" customFormat="1" ht="21.95" customHeight="1">
      <c r="A26" s="439" t="s">
        <v>592</v>
      </c>
      <c r="B26" s="3108">
        <f>'예산세출(성사)'!Q24</f>
        <v>86150000</v>
      </c>
      <c r="C26" s="3096">
        <f t="shared" si="5"/>
        <v>9.8888556900865923E-3</v>
      </c>
      <c r="D26" s="3108">
        <v>88010000</v>
      </c>
      <c r="E26" s="3091">
        <f t="shared" si="11"/>
        <v>8.609558713404606E-3</v>
      </c>
      <c r="F26" s="3118">
        <f t="shared" si="12"/>
        <v>-1860000</v>
      </c>
      <c r="G26" s="3093">
        <f t="shared" si="2"/>
        <v>-2.1133962049767072E-2</v>
      </c>
      <c r="H26" s="81"/>
      <c r="I26" s="85" t="s">
        <v>2954</v>
      </c>
      <c r="J26" s="85">
        <f>B22</f>
        <v>1436607000</v>
      </c>
      <c r="K26" s="85">
        <f>B60</f>
        <v>16900000</v>
      </c>
      <c r="L26" s="85">
        <f>B69</f>
        <v>91448000</v>
      </c>
      <c r="M26" s="85">
        <f>SUM(J26:L26)</f>
        <v>1544955000</v>
      </c>
      <c r="N26" s="79"/>
      <c r="O26" s="79"/>
      <c r="P26" s="85"/>
      <c r="Q26" s="85"/>
      <c r="R26" s="85"/>
      <c r="S26" s="85"/>
      <c r="T26" s="85"/>
      <c r="U26" s="85"/>
      <c r="V26" s="85"/>
      <c r="W26" s="85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  <c r="CL26" s="79"/>
      <c r="CM26" s="79"/>
      <c r="CN26" s="79"/>
      <c r="CO26" s="79"/>
      <c r="CP26" s="79"/>
      <c r="CQ26" s="79"/>
      <c r="CR26" s="79"/>
      <c r="CS26" s="79"/>
      <c r="CT26" s="79"/>
      <c r="CU26" s="79"/>
      <c r="CV26" s="79"/>
      <c r="CW26" s="79"/>
      <c r="CX26" s="79"/>
      <c r="CY26" s="79"/>
      <c r="CZ26" s="79"/>
      <c r="DA26" s="79"/>
      <c r="DB26" s="79"/>
      <c r="DC26" s="79"/>
      <c r="DD26" s="79"/>
      <c r="DE26" s="79"/>
      <c r="DF26" s="79"/>
      <c r="DG26" s="79"/>
      <c r="DH26" s="79"/>
      <c r="DI26" s="79"/>
      <c r="DJ26" s="79"/>
      <c r="DK26" s="79"/>
      <c r="DL26" s="79"/>
      <c r="DM26" s="79"/>
      <c r="DN26" s="79"/>
      <c r="DO26" s="79"/>
      <c r="DP26" s="79"/>
      <c r="DQ26" s="79"/>
      <c r="DR26" s="79"/>
      <c r="DS26" s="79"/>
    </row>
    <row r="27" spans="1:123" s="80" customFormat="1" ht="21.95" customHeight="1">
      <c r="A27" s="439" t="s">
        <v>618</v>
      </c>
      <c r="B27" s="3108">
        <f>'예산세출(탄현)'!Q23</f>
        <v>25630000</v>
      </c>
      <c r="C27" s="3096">
        <f t="shared" si="5"/>
        <v>2.9419776127326677E-3</v>
      </c>
      <c r="D27" s="3108">
        <v>42544000</v>
      </c>
      <c r="E27" s="3091">
        <f t="shared" si="11"/>
        <v>4.1618573560173342E-3</v>
      </c>
      <c r="F27" s="3118">
        <f t="shared" si="12"/>
        <v>-16914000</v>
      </c>
      <c r="G27" s="3093">
        <f t="shared" si="2"/>
        <v>-0.39756487401278678</v>
      </c>
      <c r="H27" s="81"/>
      <c r="I27" s="85" t="s">
        <v>2955</v>
      </c>
      <c r="J27" s="85">
        <f>B35-400000000</f>
        <v>846418000</v>
      </c>
      <c r="K27" s="85"/>
      <c r="L27" s="85"/>
      <c r="M27" s="85">
        <f>SUM(J27:L27)</f>
        <v>846418000</v>
      </c>
      <c r="N27" s="79"/>
      <c r="O27" s="79"/>
      <c r="P27" s="85"/>
      <c r="Q27" s="85"/>
      <c r="R27" s="85"/>
      <c r="S27" s="85"/>
      <c r="T27" s="85"/>
      <c r="U27" s="85"/>
      <c r="V27" s="85"/>
      <c r="W27" s="85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  <c r="BM27" s="79"/>
      <c r="BN27" s="79"/>
      <c r="BO27" s="79"/>
      <c r="BP27" s="79"/>
      <c r="BQ27" s="79"/>
      <c r="BR27" s="79"/>
      <c r="BS27" s="79"/>
      <c r="BT27" s="79"/>
      <c r="BU27" s="79"/>
      <c r="BV27" s="79"/>
      <c r="BW27" s="79"/>
      <c r="BX27" s="79"/>
      <c r="BY27" s="79"/>
      <c r="BZ27" s="79"/>
      <c r="CA27" s="79"/>
      <c r="CB27" s="79"/>
      <c r="CC27" s="79"/>
      <c r="CD27" s="79"/>
      <c r="CE27" s="79"/>
      <c r="CF27" s="79"/>
      <c r="CG27" s="79"/>
      <c r="CH27" s="79"/>
      <c r="CI27" s="79"/>
      <c r="CJ27" s="79"/>
      <c r="CK27" s="79"/>
      <c r="CL27" s="79"/>
      <c r="CM27" s="79"/>
      <c r="CN27" s="79"/>
      <c r="CO27" s="79"/>
      <c r="CP27" s="79"/>
      <c r="CQ27" s="79"/>
      <c r="CR27" s="79"/>
      <c r="CS27" s="79"/>
      <c r="CT27" s="79"/>
      <c r="CU27" s="79"/>
      <c r="CV27" s="79"/>
      <c r="CW27" s="79"/>
      <c r="CX27" s="79"/>
      <c r="CY27" s="79"/>
      <c r="CZ27" s="79"/>
      <c r="DA27" s="79"/>
      <c r="DB27" s="79"/>
      <c r="DC27" s="79"/>
      <c r="DD27" s="79"/>
      <c r="DE27" s="79"/>
      <c r="DF27" s="79"/>
      <c r="DG27" s="79"/>
      <c r="DH27" s="79"/>
      <c r="DI27" s="79"/>
      <c r="DJ27" s="79"/>
      <c r="DK27" s="79"/>
      <c r="DL27" s="79"/>
      <c r="DM27" s="79"/>
      <c r="DN27" s="79"/>
      <c r="DO27" s="79"/>
      <c r="DP27" s="79"/>
      <c r="DQ27" s="79"/>
      <c r="DR27" s="79"/>
      <c r="DS27" s="79"/>
    </row>
    <row r="28" spans="1:123" s="80" customFormat="1" ht="21.95" customHeight="1">
      <c r="A28" s="439" t="s">
        <v>589</v>
      </c>
      <c r="B28" s="3108">
        <f>'예산세출(주교)'!Q13</f>
        <v>11334000</v>
      </c>
      <c r="C28" s="3096">
        <f t="shared" si="5"/>
        <v>1.300990021955211E-3</v>
      </c>
      <c r="D28" s="3108">
        <v>14296000</v>
      </c>
      <c r="E28" s="3091">
        <f t="shared" si="11"/>
        <v>1.3985030265518947E-3</v>
      </c>
      <c r="F28" s="3118">
        <f t="shared" si="12"/>
        <v>-2962000</v>
      </c>
      <c r="G28" s="3093">
        <f t="shared" si="2"/>
        <v>-0.20719082260772245</v>
      </c>
      <c r="H28" s="81"/>
      <c r="I28" s="85"/>
      <c r="J28" s="85"/>
      <c r="K28" s="85"/>
      <c r="L28" s="85"/>
      <c r="M28" s="85"/>
      <c r="N28" s="79"/>
      <c r="O28" s="79"/>
      <c r="P28" s="85"/>
      <c r="Q28" s="85"/>
      <c r="R28" s="85"/>
      <c r="S28" s="85"/>
      <c r="T28" s="85"/>
      <c r="U28" s="85"/>
      <c r="V28" s="85"/>
      <c r="W28" s="85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79"/>
      <c r="BN28" s="79"/>
      <c r="BO28" s="79"/>
      <c r="BP28" s="79"/>
      <c r="BQ28" s="79"/>
      <c r="BR28" s="79"/>
      <c r="BS28" s="79"/>
      <c r="BT28" s="79"/>
      <c r="BU28" s="79"/>
      <c r="BV28" s="79"/>
      <c r="BW28" s="79"/>
      <c r="BX28" s="79"/>
      <c r="BY28" s="79"/>
      <c r="BZ28" s="79"/>
      <c r="CA28" s="79"/>
      <c r="CB28" s="79"/>
      <c r="CC28" s="79"/>
      <c r="CD28" s="79"/>
      <c r="CE28" s="79"/>
      <c r="CF28" s="79"/>
      <c r="CG28" s="79"/>
      <c r="CH28" s="79"/>
      <c r="CI28" s="79"/>
      <c r="CJ28" s="79"/>
      <c r="CK28" s="79"/>
      <c r="CL28" s="79"/>
      <c r="CM28" s="79"/>
      <c r="CN28" s="79"/>
      <c r="CO28" s="79"/>
      <c r="CP28" s="79"/>
      <c r="CQ28" s="79"/>
      <c r="CR28" s="79"/>
      <c r="CS28" s="79"/>
      <c r="CT28" s="79"/>
      <c r="CU28" s="79"/>
      <c r="CV28" s="79"/>
      <c r="CW28" s="79"/>
      <c r="CX28" s="79"/>
      <c r="CY28" s="79"/>
      <c r="CZ28" s="79"/>
      <c r="DA28" s="79"/>
      <c r="DB28" s="79"/>
      <c r="DC28" s="79"/>
      <c r="DD28" s="79"/>
      <c r="DE28" s="79"/>
      <c r="DF28" s="79"/>
      <c r="DG28" s="79"/>
      <c r="DH28" s="79"/>
      <c r="DI28" s="79"/>
      <c r="DJ28" s="79"/>
      <c r="DK28" s="79"/>
      <c r="DL28" s="79"/>
      <c r="DM28" s="79"/>
      <c r="DN28" s="79"/>
      <c r="DO28" s="79"/>
      <c r="DP28" s="79"/>
      <c r="DQ28" s="79"/>
      <c r="DR28" s="79"/>
      <c r="DS28" s="79"/>
    </row>
    <row r="29" spans="1:123" s="80" customFormat="1" ht="21.95" customHeight="1">
      <c r="A29" s="439" t="s">
        <v>619</v>
      </c>
      <c r="B29" s="3108">
        <f>'예산세출(일산서구)'!Q19</f>
        <v>209331000</v>
      </c>
      <c r="C29" s="3096">
        <f t="shared" si="5"/>
        <v>2.4028369709361768E-2</v>
      </c>
      <c r="D29" s="3108">
        <v>325265000</v>
      </c>
      <c r="E29" s="3091">
        <f t="shared" si="11"/>
        <v>3.1818976422174176E-2</v>
      </c>
      <c r="F29" s="3118">
        <f t="shared" si="12"/>
        <v>-115934000</v>
      </c>
      <c r="G29" s="3093">
        <f t="shared" si="2"/>
        <v>-0.3564293729728068</v>
      </c>
      <c r="H29" s="81"/>
      <c r="I29" s="85"/>
      <c r="J29" s="85">
        <f>SUM(J25:J28)</f>
        <v>5806165000</v>
      </c>
      <c r="K29" s="85">
        <f>SUM(K25:K28)</f>
        <v>16900000</v>
      </c>
      <c r="L29" s="85">
        <f>SUM(L25:L28)</f>
        <v>91448000</v>
      </c>
      <c r="M29" s="85">
        <f>SUM(J29:L29)</f>
        <v>5914513000</v>
      </c>
      <c r="N29" s="79"/>
      <c r="O29" s="79"/>
      <c r="P29" s="85"/>
      <c r="Q29" s="85"/>
      <c r="R29" s="85"/>
      <c r="S29" s="85"/>
      <c r="T29" s="85"/>
      <c r="U29" s="85"/>
      <c r="V29" s="85"/>
      <c r="W29" s="85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  <c r="CE29" s="79"/>
      <c r="CF29" s="79"/>
      <c r="CG29" s="79"/>
      <c r="CH29" s="79"/>
      <c r="CI29" s="79"/>
      <c r="CJ29" s="79"/>
      <c r="CK29" s="79"/>
      <c r="CL29" s="79"/>
      <c r="CM29" s="79"/>
      <c r="CN29" s="79"/>
      <c r="CO29" s="79"/>
      <c r="CP29" s="79"/>
      <c r="CQ29" s="79"/>
      <c r="CR29" s="79"/>
      <c r="CS29" s="79"/>
      <c r="CT29" s="79"/>
      <c r="CU29" s="79"/>
      <c r="CV29" s="79"/>
      <c r="CW29" s="79"/>
      <c r="CX29" s="79"/>
      <c r="CY29" s="79"/>
      <c r="CZ29" s="79"/>
      <c r="DA29" s="79"/>
      <c r="DB29" s="79"/>
      <c r="DC29" s="79"/>
      <c r="DD29" s="79"/>
      <c r="DE29" s="79"/>
      <c r="DF29" s="79"/>
      <c r="DG29" s="79"/>
      <c r="DH29" s="79"/>
      <c r="DI29" s="79"/>
      <c r="DJ29" s="79"/>
      <c r="DK29" s="79"/>
      <c r="DL29" s="79"/>
      <c r="DM29" s="79"/>
      <c r="DN29" s="79"/>
      <c r="DO29" s="79"/>
      <c r="DP29" s="79"/>
      <c r="DQ29" s="79"/>
      <c r="DR29" s="79"/>
      <c r="DS29" s="79"/>
    </row>
    <row r="30" spans="1:123" s="80" customFormat="1" ht="21.95" customHeight="1">
      <c r="A30" s="439" t="s">
        <v>593</v>
      </c>
      <c r="B30" s="3108">
        <f>'예산세출(토당)'!Q59</f>
        <v>311110000</v>
      </c>
      <c r="C30" s="3096">
        <f t="shared" si="5"/>
        <v>3.5711223374844336E-2</v>
      </c>
      <c r="D30" s="3108">
        <v>240808000</v>
      </c>
      <c r="E30" s="3091">
        <f t="shared" si="11"/>
        <v>2.3556989145069155E-2</v>
      </c>
      <c r="F30" s="3118">
        <f t="shared" si="12"/>
        <v>70302000</v>
      </c>
      <c r="G30" s="3093">
        <f t="shared" si="2"/>
        <v>0.2919421281684994</v>
      </c>
      <c r="H30" s="81"/>
      <c r="I30" s="85"/>
      <c r="J30" s="85"/>
      <c r="K30" s="85"/>
      <c r="L30" s="85"/>
      <c r="M30" s="85"/>
      <c r="N30" s="79"/>
      <c r="O30" s="79"/>
      <c r="P30" s="85"/>
      <c r="Q30" s="85"/>
      <c r="R30" s="85"/>
      <c r="S30" s="85"/>
      <c r="T30" s="85"/>
      <c r="U30" s="85"/>
      <c r="V30" s="85"/>
      <c r="W30" s="85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9"/>
      <c r="CD30" s="79"/>
      <c r="CE30" s="79"/>
      <c r="CF30" s="79"/>
      <c r="CG30" s="79"/>
      <c r="CH30" s="79"/>
      <c r="CI30" s="79"/>
      <c r="CJ30" s="79"/>
      <c r="CK30" s="79"/>
      <c r="CL30" s="79"/>
      <c r="CM30" s="79"/>
      <c r="CN30" s="79"/>
      <c r="CO30" s="79"/>
      <c r="CP30" s="79"/>
      <c r="CQ30" s="79"/>
      <c r="CR30" s="79"/>
      <c r="CS30" s="79"/>
      <c r="CT30" s="79"/>
      <c r="CU30" s="79"/>
      <c r="CV30" s="79"/>
      <c r="CW30" s="79"/>
      <c r="CX30" s="79"/>
      <c r="CY30" s="79"/>
      <c r="CZ30" s="79"/>
      <c r="DA30" s="79"/>
      <c r="DB30" s="79"/>
      <c r="DC30" s="79"/>
      <c r="DD30" s="79"/>
      <c r="DE30" s="79"/>
      <c r="DF30" s="79"/>
      <c r="DG30" s="79"/>
      <c r="DH30" s="79"/>
      <c r="DI30" s="79"/>
      <c r="DJ30" s="79"/>
      <c r="DK30" s="79"/>
      <c r="DL30" s="79"/>
      <c r="DM30" s="79"/>
      <c r="DN30" s="79"/>
      <c r="DO30" s="79"/>
      <c r="DP30" s="79"/>
      <c r="DQ30" s="79"/>
      <c r="DR30" s="79"/>
      <c r="DS30" s="79"/>
    </row>
    <row r="31" spans="1:123" s="80" customFormat="1" ht="21.95" customHeight="1">
      <c r="A31" s="439" t="s">
        <v>620</v>
      </c>
      <c r="B31" s="3108">
        <f>'예산세출(상담)'!Q85</f>
        <v>53181000</v>
      </c>
      <c r="C31" s="3096">
        <f t="shared" si="5"/>
        <v>6.1044600633139295E-3</v>
      </c>
      <c r="D31" s="3108">
        <v>48841000</v>
      </c>
      <c r="E31" s="3096">
        <f t="shared" si="11"/>
        <v>4.7778599831995727E-3</v>
      </c>
      <c r="F31" s="3107">
        <f t="shared" si="12"/>
        <v>4340000</v>
      </c>
      <c r="G31" s="3098">
        <f t="shared" si="2"/>
        <v>8.8859769455989848E-2</v>
      </c>
      <c r="H31" s="81"/>
      <c r="I31" s="85"/>
      <c r="J31" s="85"/>
      <c r="K31" s="85"/>
      <c r="L31" s="85"/>
      <c r="M31" s="85"/>
      <c r="N31" s="227"/>
      <c r="O31" s="79"/>
      <c r="P31" s="85"/>
      <c r="Q31" s="85"/>
      <c r="R31" s="85"/>
      <c r="S31" s="85"/>
      <c r="T31" s="85"/>
      <c r="U31" s="85"/>
      <c r="V31" s="85"/>
      <c r="W31" s="85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  <c r="CE31" s="79"/>
      <c r="CF31" s="79"/>
      <c r="CG31" s="79"/>
      <c r="CH31" s="79"/>
      <c r="CI31" s="79"/>
      <c r="CJ31" s="79"/>
      <c r="CK31" s="79"/>
      <c r="CL31" s="79"/>
      <c r="CM31" s="79"/>
      <c r="CN31" s="79"/>
      <c r="CO31" s="79"/>
      <c r="CP31" s="79"/>
      <c r="CQ31" s="79"/>
      <c r="CR31" s="79"/>
      <c r="CS31" s="79"/>
      <c r="CT31" s="79"/>
      <c r="CU31" s="79"/>
      <c r="CV31" s="79"/>
      <c r="CW31" s="79"/>
      <c r="CX31" s="79"/>
      <c r="CY31" s="79"/>
      <c r="CZ31" s="79"/>
      <c r="DA31" s="79"/>
      <c r="DB31" s="79"/>
      <c r="DC31" s="79"/>
      <c r="DD31" s="79"/>
      <c r="DE31" s="79"/>
      <c r="DF31" s="79"/>
      <c r="DG31" s="79"/>
      <c r="DH31" s="79"/>
      <c r="DI31" s="79"/>
      <c r="DJ31" s="79"/>
      <c r="DK31" s="79"/>
      <c r="DL31" s="79"/>
      <c r="DM31" s="79"/>
      <c r="DN31" s="79"/>
      <c r="DO31" s="79"/>
      <c r="DP31" s="79"/>
      <c r="DQ31" s="79"/>
      <c r="DR31" s="79"/>
      <c r="DS31" s="79"/>
    </row>
    <row r="32" spans="1:123" s="80" customFormat="1" ht="21.95" customHeight="1">
      <c r="A32" s="462" t="s">
        <v>590</v>
      </c>
      <c r="B32" s="3121">
        <f>'예산세출(화정)'!Q30</f>
        <v>22207000</v>
      </c>
      <c r="C32" s="3122">
        <f t="shared" si="5"/>
        <v>2.5490634742861631E-3</v>
      </c>
      <c r="D32" s="3121">
        <f>'예산세출(화정)'!R30</f>
        <v>19247000</v>
      </c>
      <c r="E32" s="3122">
        <f t="shared" si="11"/>
        <v>1.8828335025212869E-3</v>
      </c>
      <c r="F32" s="3118">
        <f t="shared" si="12"/>
        <v>2960000</v>
      </c>
      <c r="G32" s="3093">
        <f t="shared" si="2"/>
        <v>0.15379020107029667</v>
      </c>
      <c r="H32" s="81"/>
      <c r="I32" s="85"/>
      <c r="J32" s="85"/>
      <c r="K32" s="85"/>
      <c r="L32" s="85"/>
      <c r="M32" s="226"/>
      <c r="N32" s="228"/>
      <c r="O32" s="79"/>
      <c r="P32" s="85"/>
      <c r="Q32" s="85"/>
      <c r="R32" s="85"/>
      <c r="S32" s="85"/>
      <c r="T32" s="85"/>
      <c r="U32" s="85"/>
      <c r="V32" s="85"/>
      <c r="W32" s="85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  <c r="CD32" s="79"/>
      <c r="CE32" s="79"/>
      <c r="CF32" s="79"/>
      <c r="CG32" s="79"/>
      <c r="CH32" s="79"/>
      <c r="CI32" s="79"/>
      <c r="CJ32" s="79"/>
      <c r="CK32" s="79"/>
      <c r="CL32" s="79"/>
      <c r="CM32" s="79"/>
      <c r="CN32" s="79"/>
      <c r="CO32" s="79"/>
      <c r="CP32" s="79"/>
      <c r="CQ32" s="79"/>
      <c r="CR32" s="79"/>
      <c r="CS32" s="79"/>
      <c r="CT32" s="79"/>
      <c r="CU32" s="79"/>
      <c r="CV32" s="79"/>
      <c r="CW32" s="79"/>
      <c r="CX32" s="79"/>
      <c r="CY32" s="79"/>
      <c r="CZ32" s="79"/>
      <c r="DA32" s="79"/>
      <c r="DB32" s="79"/>
      <c r="DC32" s="79"/>
      <c r="DD32" s="79"/>
      <c r="DE32" s="79"/>
      <c r="DF32" s="79"/>
      <c r="DG32" s="79"/>
      <c r="DH32" s="79"/>
      <c r="DI32" s="79"/>
      <c r="DJ32" s="79"/>
      <c r="DK32" s="79"/>
      <c r="DL32" s="79"/>
      <c r="DM32" s="79"/>
      <c r="DN32" s="79"/>
      <c r="DO32" s="79"/>
      <c r="DP32" s="79"/>
      <c r="DQ32" s="79"/>
      <c r="DR32" s="79"/>
      <c r="DS32" s="79"/>
    </row>
    <row r="33" spans="1:123" s="80" customFormat="1" ht="21.95" customHeight="1">
      <c r="A33" s="439" t="s">
        <v>499</v>
      </c>
      <c r="B33" s="3108">
        <f>'예산세출(백마)'!Q25</f>
        <v>25580000</v>
      </c>
      <c r="C33" s="3096">
        <f t="shared" si="5"/>
        <v>2.9362382884784099E-3</v>
      </c>
      <c r="D33" s="3108">
        <v>24535000</v>
      </c>
      <c r="E33" s="3096">
        <f t="shared" si="11"/>
        <v>2.4001309286829E-3</v>
      </c>
      <c r="F33" s="3107">
        <f t="shared" si="12"/>
        <v>1045000</v>
      </c>
      <c r="G33" s="3098">
        <f t="shared" si="2"/>
        <v>4.2592215202771552E-2</v>
      </c>
      <c r="H33" s="81"/>
      <c r="I33" s="85"/>
      <c r="J33" s="85"/>
      <c r="K33" s="85"/>
      <c r="L33" s="85"/>
      <c r="M33" s="85"/>
      <c r="N33" s="228"/>
      <c r="O33" s="79"/>
      <c r="P33" s="85"/>
      <c r="Q33" s="85"/>
      <c r="R33" s="85"/>
      <c r="S33" s="85"/>
      <c r="T33" s="85"/>
      <c r="U33" s="85"/>
      <c r="V33" s="85"/>
      <c r="W33" s="85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9"/>
      <c r="BY33" s="79"/>
      <c r="BZ33" s="79"/>
      <c r="CA33" s="79"/>
      <c r="CB33" s="79"/>
      <c r="CC33" s="79"/>
      <c r="CD33" s="79"/>
      <c r="CE33" s="79"/>
      <c r="CF33" s="79"/>
      <c r="CG33" s="79"/>
      <c r="CH33" s="79"/>
      <c r="CI33" s="79"/>
      <c r="CJ33" s="79"/>
      <c r="CK33" s="79"/>
      <c r="CL33" s="79"/>
      <c r="CM33" s="79"/>
      <c r="CN33" s="79"/>
      <c r="CO33" s="79"/>
      <c r="CP33" s="79"/>
      <c r="CQ33" s="79"/>
      <c r="CR33" s="79"/>
      <c r="CS33" s="79"/>
      <c r="CT33" s="79"/>
      <c r="CU33" s="79"/>
      <c r="CV33" s="79"/>
      <c r="CW33" s="79"/>
      <c r="CX33" s="79"/>
      <c r="CY33" s="79"/>
      <c r="CZ33" s="79"/>
      <c r="DA33" s="79"/>
      <c r="DB33" s="79"/>
      <c r="DC33" s="79"/>
      <c r="DD33" s="79"/>
      <c r="DE33" s="79"/>
      <c r="DF33" s="79"/>
      <c r="DG33" s="79"/>
      <c r="DH33" s="79"/>
      <c r="DI33" s="79"/>
      <c r="DJ33" s="79"/>
      <c r="DK33" s="79"/>
      <c r="DL33" s="79"/>
      <c r="DM33" s="79"/>
      <c r="DN33" s="79"/>
      <c r="DO33" s="79"/>
      <c r="DP33" s="79"/>
      <c r="DQ33" s="79"/>
      <c r="DR33" s="79"/>
      <c r="DS33" s="79"/>
    </row>
    <row r="34" spans="1:123" s="80" customFormat="1" ht="21.95" customHeight="1">
      <c r="A34" s="462" t="s">
        <v>531</v>
      </c>
      <c r="B34" s="3121">
        <f>'예산세출(능곡)'!Q22</f>
        <v>22080000</v>
      </c>
      <c r="C34" s="3122">
        <f t="shared" si="5"/>
        <v>2.5344855906803475E-3</v>
      </c>
      <c r="D34" s="3121">
        <f>'예산세출(능곡)'!R22</f>
        <v>19670000</v>
      </c>
      <c r="E34" s="3096">
        <f t="shared" si="11"/>
        <v>1.9242133836230952E-3</v>
      </c>
      <c r="F34" s="3107">
        <f t="shared" si="12"/>
        <v>2410000</v>
      </c>
      <c r="G34" s="3098">
        <f t="shared" si="2"/>
        <v>0.12252160650737164</v>
      </c>
      <c r="H34" s="81"/>
      <c r="I34" s="85"/>
      <c r="J34" s="85"/>
      <c r="K34" s="85"/>
      <c r="L34" s="85"/>
      <c r="M34" s="85"/>
      <c r="N34" s="228"/>
      <c r="O34" s="79"/>
      <c r="P34" s="85"/>
      <c r="Q34" s="85"/>
      <c r="R34" s="85"/>
      <c r="S34" s="85"/>
      <c r="T34" s="85"/>
      <c r="U34" s="85"/>
      <c r="V34" s="85"/>
      <c r="W34" s="85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  <c r="BY34" s="79"/>
      <c r="BZ34" s="79"/>
      <c r="CA34" s="79"/>
      <c r="CB34" s="79"/>
      <c r="CC34" s="79"/>
      <c r="CD34" s="79"/>
      <c r="CE34" s="79"/>
      <c r="CF34" s="79"/>
      <c r="CG34" s="79"/>
      <c r="CH34" s="79"/>
      <c r="CI34" s="79"/>
      <c r="CJ34" s="79"/>
      <c r="CK34" s="79"/>
      <c r="CL34" s="79"/>
      <c r="CM34" s="79"/>
      <c r="CN34" s="79"/>
      <c r="CO34" s="79"/>
      <c r="CP34" s="79"/>
      <c r="CQ34" s="79"/>
      <c r="CR34" s="79"/>
      <c r="CS34" s="79"/>
      <c r="CT34" s="79"/>
      <c r="CU34" s="79"/>
      <c r="CV34" s="79"/>
      <c r="CW34" s="79"/>
      <c r="CX34" s="79"/>
      <c r="CY34" s="79"/>
      <c r="CZ34" s="79"/>
      <c r="DA34" s="79"/>
      <c r="DB34" s="79"/>
      <c r="DC34" s="79"/>
      <c r="DD34" s="79"/>
      <c r="DE34" s="79"/>
      <c r="DF34" s="79"/>
      <c r="DG34" s="79"/>
      <c r="DH34" s="79"/>
      <c r="DI34" s="79"/>
      <c r="DJ34" s="79"/>
      <c r="DK34" s="79"/>
      <c r="DL34" s="79"/>
      <c r="DM34" s="79"/>
      <c r="DN34" s="79"/>
      <c r="DO34" s="79"/>
      <c r="DP34" s="79"/>
      <c r="DQ34" s="79"/>
      <c r="DR34" s="79"/>
      <c r="DS34" s="79"/>
    </row>
    <row r="35" spans="1:123" s="80" customFormat="1" ht="21.95" customHeight="1">
      <c r="A35" s="283" t="s">
        <v>698</v>
      </c>
      <c r="B35" s="284">
        <f>SUM(B36:B47)</f>
        <v>1246418000</v>
      </c>
      <c r="C35" s="285">
        <f t="shared" si="5"/>
        <v>0.1430719411668758</v>
      </c>
      <c r="D35" s="284">
        <f>SUM(D36:D47)</f>
        <v>1376686000</v>
      </c>
      <c r="E35" s="285">
        <f t="shared" si="11"/>
        <v>0.1346740023511207</v>
      </c>
      <c r="F35" s="287">
        <f>SUM(F36:F47)</f>
        <v>-130268000</v>
      </c>
      <c r="G35" s="288">
        <f>+F35/D35</f>
        <v>-9.462433699478312E-2</v>
      </c>
      <c r="H35" s="86"/>
      <c r="I35" s="85"/>
      <c r="J35" s="85"/>
      <c r="K35" s="85"/>
      <c r="L35" s="85"/>
      <c r="M35" s="85"/>
      <c r="N35" s="79"/>
      <c r="O35" s="79"/>
      <c r="P35" s="85"/>
      <c r="Q35" s="85"/>
      <c r="R35" s="85"/>
      <c r="S35" s="85"/>
      <c r="T35" s="85"/>
      <c r="U35" s="85"/>
      <c r="V35" s="85"/>
      <c r="W35" s="85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  <c r="BW35" s="79"/>
      <c r="BX35" s="79"/>
      <c r="BY35" s="79"/>
      <c r="BZ35" s="79"/>
      <c r="CA35" s="79"/>
      <c r="CB35" s="79"/>
      <c r="CC35" s="79"/>
      <c r="CD35" s="79"/>
      <c r="CE35" s="79"/>
      <c r="CF35" s="79"/>
      <c r="CG35" s="79"/>
      <c r="CH35" s="79"/>
      <c r="CI35" s="79"/>
      <c r="CJ35" s="79"/>
      <c r="CK35" s="79"/>
      <c r="CL35" s="79"/>
      <c r="CM35" s="79"/>
      <c r="CN35" s="79"/>
      <c r="CO35" s="79"/>
      <c r="CP35" s="79"/>
      <c r="CQ35" s="79"/>
      <c r="CR35" s="79"/>
      <c r="CS35" s="79"/>
      <c r="CT35" s="79"/>
      <c r="CU35" s="79"/>
      <c r="CV35" s="79"/>
      <c r="CW35" s="79"/>
      <c r="CX35" s="79"/>
      <c r="CY35" s="79"/>
      <c r="CZ35" s="79"/>
      <c r="DA35" s="79"/>
      <c r="DB35" s="79"/>
      <c r="DC35" s="79"/>
      <c r="DD35" s="79"/>
      <c r="DE35" s="79"/>
      <c r="DF35" s="79"/>
      <c r="DG35" s="79"/>
      <c r="DH35" s="79"/>
      <c r="DI35" s="79"/>
      <c r="DJ35" s="79"/>
      <c r="DK35" s="79"/>
      <c r="DL35" s="79"/>
      <c r="DM35" s="79"/>
      <c r="DN35" s="79"/>
      <c r="DO35" s="79"/>
      <c r="DP35" s="79"/>
      <c r="DQ35" s="79"/>
      <c r="DR35" s="79"/>
      <c r="DS35" s="79"/>
    </row>
    <row r="36" spans="1:123" s="80" customFormat="1" ht="21.95" customHeight="1">
      <c r="A36" s="463" t="s">
        <v>610</v>
      </c>
      <c r="B36" s="3149">
        <f>'예산세출(사무국)'!Q214</f>
        <v>928000000</v>
      </c>
      <c r="C36" s="3150">
        <f t="shared" si="5"/>
        <v>0.10652185815902909</v>
      </c>
      <c r="D36" s="3149">
        <f>'예산세출(사무국)'!R214</f>
        <v>996980000</v>
      </c>
      <c r="E36" s="3150">
        <f t="shared" si="11"/>
        <v>9.7529347188843596E-2</v>
      </c>
      <c r="F36" s="3151">
        <f>+B36-D36</f>
        <v>-68980000</v>
      </c>
      <c r="G36" s="3152">
        <f t="shared" si="2"/>
        <v>-6.9188950630905341E-2</v>
      </c>
      <c r="H36" s="81"/>
      <c r="I36" s="85"/>
      <c r="J36" s="85"/>
      <c r="K36" s="85"/>
      <c r="L36" s="85"/>
      <c r="M36" s="85"/>
      <c r="N36" s="161"/>
      <c r="O36" s="79"/>
      <c r="P36" s="85"/>
      <c r="Q36" s="85"/>
      <c r="R36" s="85"/>
      <c r="S36" s="85"/>
      <c r="T36" s="85"/>
      <c r="U36" s="85"/>
      <c r="V36" s="85"/>
      <c r="W36" s="85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  <c r="CD36" s="79"/>
      <c r="CE36" s="79"/>
      <c r="CF36" s="79"/>
      <c r="CG36" s="79"/>
      <c r="CH36" s="79"/>
      <c r="CI36" s="79"/>
      <c r="CJ36" s="79"/>
      <c r="CK36" s="79"/>
      <c r="CL36" s="79"/>
      <c r="CM36" s="79"/>
      <c r="CN36" s="79"/>
      <c r="CO36" s="79"/>
      <c r="CP36" s="79"/>
      <c r="CQ36" s="79"/>
      <c r="CR36" s="79"/>
      <c r="CS36" s="79"/>
      <c r="CT36" s="79"/>
      <c r="CU36" s="79"/>
      <c r="CV36" s="79"/>
      <c r="CW36" s="79"/>
      <c r="CX36" s="79"/>
      <c r="CY36" s="79"/>
      <c r="CZ36" s="79"/>
      <c r="DA36" s="79"/>
      <c r="DB36" s="79"/>
      <c r="DC36" s="79"/>
      <c r="DD36" s="79"/>
      <c r="DE36" s="79"/>
      <c r="DF36" s="79"/>
      <c r="DG36" s="79"/>
      <c r="DH36" s="79"/>
      <c r="DI36" s="79"/>
      <c r="DJ36" s="79"/>
      <c r="DK36" s="79"/>
      <c r="DL36" s="79"/>
      <c r="DM36" s="79"/>
      <c r="DN36" s="79"/>
      <c r="DO36" s="79"/>
      <c r="DP36" s="79"/>
      <c r="DQ36" s="79"/>
      <c r="DR36" s="79"/>
      <c r="DS36" s="79"/>
    </row>
    <row r="37" spans="1:123" s="80" customFormat="1" ht="21.95" customHeight="1">
      <c r="A37" s="439" t="s">
        <v>611</v>
      </c>
      <c r="B37" s="3108">
        <f>'예산세출(마두)'!Q133</f>
        <v>69004000</v>
      </c>
      <c r="C37" s="3096">
        <f t="shared" si="5"/>
        <v>7.9207266168164273E-3</v>
      </c>
      <c r="D37" s="3108">
        <f>'예산세출(마두)'!R133</f>
        <v>65000000</v>
      </c>
      <c r="E37" s="3091">
        <f t="shared" si="11"/>
        <v>6.3586105711998572E-3</v>
      </c>
      <c r="F37" s="3107">
        <f t="shared" ref="F37:F47" si="13">+B37-D37</f>
        <v>4004000</v>
      </c>
      <c r="G37" s="3098">
        <f t="shared" si="2"/>
        <v>6.1600000000000002E-2</v>
      </c>
      <c r="H37" s="81"/>
      <c r="I37" s="85"/>
      <c r="J37" s="85"/>
      <c r="K37" s="85"/>
      <c r="L37" s="85"/>
      <c r="M37" s="85"/>
      <c r="N37" s="79"/>
      <c r="O37" s="79"/>
      <c r="P37" s="85"/>
      <c r="Q37" s="85"/>
      <c r="R37" s="85"/>
      <c r="S37" s="85"/>
      <c r="T37" s="85"/>
      <c r="U37" s="85"/>
      <c r="V37" s="85"/>
      <c r="W37" s="85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79"/>
      <c r="BS37" s="79"/>
      <c r="BT37" s="79"/>
      <c r="BU37" s="79"/>
      <c r="BV37" s="79"/>
      <c r="BW37" s="79"/>
      <c r="BX37" s="79"/>
      <c r="BY37" s="79"/>
      <c r="BZ37" s="79"/>
      <c r="CA37" s="79"/>
      <c r="CB37" s="79"/>
      <c r="CC37" s="79"/>
      <c r="CD37" s="79"/>
      <c r="CE37" s="79"/>
      <c r="CF37" s="79"/>
      <c r="CG37" s="79"/>
      <c r="CH37" s="79"/>
      <c r="CI37" s="79"/>
      <c r="CJ37" s="79"/>
      <c r="CK37" s="79"/>
      <c r="CL37" s="79"/>
      <c r="CM37" s="79"/>
      <c r="CN37" s="79"/>
      <c r="CO37" s="79"/>
      <c r="CP37" s="79"/>
      <c r="CQ37" s="79"/>
      <c r="CR37" s="79"/>
      <c r="CS37" s="79"/>
      <c r="CT37" s="79"/>
      <c r="CU37" s="79"/>
      <c r="CV37" s="79"/>
      <c r="CW37" s="79"/>
      <c r="CX37" s="79"/>
      <c r="CY37" s="79"/>
      <c r="CZ37" s="79"/>
      <c r="DA37" s="79"/>
      <c r="DB37" s="79"/>
      <c r="DC37" s="79"/>
      <c r="DD37" s="79"/>
      <c r="DE37" s="79"/>
      <c r="DF37" s="79"/>
      <c r="DG37" s="79"/>
      <c r="DH37" s="79"/>
      <c r="DI37" s="79"/>
      <c r="DJ37" s="79"/>
      <c r="DK37" s="79"/>
      <c r="DL37" s="79"/>
      <c r="DM37" s="79"/>
      <c r="DN37" s="79"/>
      <c r="DO37" s="79"/>
      <c r="DP37" s="79"/>
      <c r="DQ37" s="79"/>
      <c r="DR37" s="79"/>
      <c r="DS37" s="79"/>
    </row>
    <row r="38" spans="1:123" s="80" customFormat="1" ht="21.95" customHeight="1">
      <c r="A38" s="439" t="s">
        <v>602</v>
      </c>
      <c r="B38" s="3108">
        <f>'예산세출(진로)'!Q97</f>
        <v>0</v>
      </c>
      <c r="C38" s="3096">
        <f t="shared" si="5"/>
        <v>0</v>
      </c>
      <c r="D38" s="3108">
        <f>'예산세출(진로)'!R97</f>
        <v>77520000</v>
      </c>
      <c r="E38" s="3091">
        <f t="shared" si="11"/>
        <v>7.5833767919909678E-3</v>
      </c>
      <c r="F38" s="3107">
        <f t="shared" si="13"/>
        <v>-77520000</v>
      </c>
      <c r="G38" s="3098">
        <f t="shared" si="2"/>
        <v>-1</v>
      </c>
      <c r="H38" s="81"/>
      <c r="I38" s="85"/>
      <c r="J38" s="85"/>
      <c r="K38" s="85"/>
      <c r="L38" s="85"/>
      <c r="M38" s="85"/>
      <c r="N38" s="79"/>
      <c r="O38" s="79"/>
      <c r="P38" s="85"/>
      <c r="Q38" s="85"/>
      <c r="R38" s="85"/>
      <c r="S38" s="85"/>
      <c r="T38" s="85"/>
      <c r="U38" s="85"/>
      <c r="V38" s="85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79"/>
      <c r="BM38" s="79"/>
      <c r="BN38" s="79"/>
      <c r="BO38" s="79"/>
      <c r="BP38" s="79"/>
      <c r="BQ38" s="79"/>
      <c r="BR38" s="79"/>
      <c r="BS38" s="79"/>
      <c r="BT38" s="79"/>
      <c r="BU38" s="79"/>
      <c r="BV38" s="79"/>
      <c r="BW38" s="79"/>
      <c r="BX38" s="79"/>
      <c r="BY38" s="79"/>
      <c r="BZ38" s="79"/>
      <c r="CA38" s="79"/>
      <c r="CB38" s="79"/>
      <c r="CC38" s="79"/>
      <c r="CD38" s="79"/>
      <c r="CE38" s="79"/>
      <c r="CF38" s="79"/>
      <c r="CG38" s="79"/>
      <c r="CH38" s="79"/>
      <c r="CI38" s="79"/>
      <c r="CJ38" s="79"/>
      <c r="CK38" s="79"/>
      <c r="CL38" s="79"/>
      <c r="CM38" s="79"/>
      <c r="CN38" s="79"/>
      <c r="CO38" s="79"/>
      <c r="CP38" s="79"/>
      <c r="CQ38" s="79"/>
      <c r="CR38" s="79"/>
      <c r="CS38" s="79"/>
      <c r="CT38" s="79"/>
      <c r="CU38" s="79"/>
      <c r="CV38" s="79"/>
      <c r="CW38" s="79"/>
      <c r="CX38" s="79"/>
      <c r="CY38" s="79"/>
      <c r="CZ38" s="79"/>
      <c r="DA38" s="79"/>
      <c r="DB38" s="79"/>
      <c r="DC38" s="79"/>
      <c r="DD38" s="79"/>
      <c r="DE38" s="79"/>
      <c r="DF38" s="79"/>
      <c r="DG38" s="79"/>
      <c r="DH38" s="79"/>
      <c r="DI38" s="79"/>
      <c r="DJ38" s="79"/>
      <c r="DK38" s="79"/>
      <c r="DL38" s="79"/>
      <c r="DM38" s="79"/>
      <c r="DN38" s="79"/>
      <c r="DO38" s="79"/>
      <c r="DP38" s="79"/>
      <c r="DQ38" s="79"/>
      <c r="DR38" s="79"/>
      <c r="DS38" s="79"/>
    </row>
    <row r="39" spans="1:123" s="80" customFormat="1" ht="21.95" customHeight="1">
      <c r="A39" s="439" t="s">
        <v>613</v>
      </c>
      <c r="B39" s="3108">
        <f>'예산세출(성사)'!Q100</f>
        <v>60592000</v>
      </c>
      <c r="C39" s="3096">
        <f t="shared" si="5"/>
        <v>6.9551427042800554E-3</v>
      </c>
      <c r="D39" s="3108">
        <f>'예산세출(성사)'!R100</f>
        <v>52574000</v>
      </c>
      <c r="E39" s="3091">
        <f t="shared" si="11"/>
        <v>5.1430398795424817E-3</v>
      </c>
      <c r="F39" s="3107">
        <f t="shared" si="13"/>
        <v>8018000</v>
      </c>
      <c r="G39" s="3098">
        <f t="shared" si="2"/>
        <v>0.15250884467607562</v>
      </c>
      <c r="H39" s="81"/>
      <c r="I39" s="85"/>
      <c r="J39" s="85"/>
      <c r="K39" s="85"/>
      <c r="L39" s="85"/>
      <c r="M39" s="85"/>
      <c r="N39" s="79"/>
      <c r="O39" s="79"/>
      <c r="P39" s="85"/>
      <c r="Q39" s="85"/>
      <c r="R39" s="85"/>
      <c r="S39" s="85"/>
      <c r="T39" s="85"/>
      <c r="U39" s="85"/>
      <c r="V39" s="85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79"/>
      <c r="BM39" s="79"/>
      <c r="BN39" s="79"/>
      <c r="BO39" s="79"/>
      <c r="BP39" s="79"/>
      <c r="BQ39" s="79"/>
      <c r="BR39" s="79"/>
      <c r="BS39" s="79"/>
      <c r="BT39" s="79"/>
      <c r="BU39" s="79"/>
      <c r="BV39" s="79"/>
      <c r="BW39" s="79"/>
      <c r="BX39" s="79"/>
      <c r="BY39" s="79"/>
      <c r="BZ39" s="79"/>
      <c r="CA39" s="79"/>
      <c r="CB39" s="79"/>
      <c r="CC39" s="79"/>
      <c r="CD39" s="79"/>
      <c r="CE39" s="79"/>
      <c r="CF39" s="79"/>
      <c r="CG39" s="79"/>
      <c r="CH39" s="79"/>
      <c r="CI39" s="79"/>
      <c r="CJ39" s="79"/>
      <c r="CK39" s="79"/>
      <c r="CL39" s="79"/>
      <c r="CM39" s="79"/>
      <c r="CN39" s="79"/>
      <c r="CO39" s="79"/>
      <c r="CP39" s="79"/>
      <c r="CQ39" s="79"/>
      <c r="CR39" s="79"/>
      <c r="CS39" s="79"/>
      <c r="CT39" s="79"/>
      <c r="CU39" s="79"/>
      <c r="CV39" s="79"/>
      <c r="CW39" s="79"/>
      <c r="CX39" s="79"/>
      <c r="CY39" s="79"/>
      <c r="CZ39" s="79"/>
      <c r="DA39" s="79"/>
      <c r="DB39" s="79"/>
      <c r="DC39" s="79"/>
      <c r="DD39" s="79"/>
      <c r="DE39" s="79"/>
      <c r="DF39" s="79"/>
      <c r="DG39" s="79"/>
      <c r="DH39" s="79"/>
      <c r="DI39" s="79"/>
      <c r="DJ39" s="79"/>
      <c r="DK39" s="79"/>
      <c r="DL39" s="79"/>
      <c r="DM39" s="79"/>
      <c r="DN39" s="79"/>
      <c r="DO39" s="79"/>
      <c r="DP39" s="79"/>
      <c r="DQ39" s="79"/>
      <c r="DR39" s="79"/>
      <c r="DS39" s="79"/>
    </row>
    <row r="40" spans="1:123" s="80" customFormat="1" ht="21.95" customHeight="1">
      <c r="A40" s="441" t="s">
        <v>312</v>
      </c>
      <c r="B40" s="3153">
        <f>'예산세출(탄현)'!Q54</f>
        <v>28600000</v>
      </c>
      <c r="C40" s="3112">
        <f t="shared" si="5"/>
        <v>3.2828934734355953E-3</v>
      </c>
      <c r="D40" s="3153">
        <f>'예산세출(탄현)'!R54</f>
        <v>29400000</v>
      </c>
      <c r="E40" s="3540">
        <f t="shared" si="11"/>
        <v>2.8760484737427048E-3</v>
      </c>
      <c r="F40" s="3154">
        <f t="shared" si="13"/>
        <v>-800000</v>
      </c>
      <c r="G40" s="3114">
        <f t="shared" si="2"/>
        <v>-2.7210884353741496E-2</v>
      </c>
      <c r="H40" s="81"/>
      <c r="I40" s="85"/>
      <c r="J40" s="85">
        <f>N32+N33+N34</f>
        <v>0</v>
      </c>
      <c r="K40" s="85"/>
      <c r="L40" s="85"/>
      <c r="M40" s="85"/>
      <c r="N40" s="79"/>
      <c r="O40" s="79"/>
      <c r="P40" s="85"/>
      <c r="Q40" s="85"/>
      <c r="R40" s="85"/>
      <c r="S40" s="85"/>
      <c r="T40" s="85"/>
      <c r="U40" s="85"/>
      <c r="V40" s="85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79"/>
      <c r="BB40" s="79"/>
      <c r="BC40" s="79"/>
      <c r="BD40" s="79"/>
      <c r="BE40" s="79"/>
      <c r="BF40" s="79"/>
      <c r="BG40" s="79"/>
      <c r="BH40" s="79"/>
      <c r="BI40" s="79"/>
      <c r="BJ40" s="79"/>
      <c r="BK40" s="79"/>
      <c r="BL40" s="79"/>
      <c r="BM40" s="79"/>
      <c r="BN40" s="79"/>
      <c r="BO40" s="79"/>
      <c r="BP40" s="79"/>
      <c r="BQ40" s="79"/>
      <c r="BR40" s="79"/>
      <c r="BS40" s="79"/>
      <c r="BT40" s="79"/>
      <c r="BU40" s="79"/>
      <c r="BV40" s="79"/>
      <c r="BW40" s="79"/>
      <c r="BX40" s="79"/>
      <c r="BY40" s="79"/>
      <c r="BZ40" s="79"/>
      <c r="CA40" s="79"/>
      <c r="CB40" s="79"/>
      <c r="CC40" s="79"/>
      <c r="CD40" s="79"/>
      <c r="CE40" s="79"/>
      <c r="CF40" s="79"/>
      <c r="CG40" s="79"/>
      <c r="CH40" s="79"/>
      <c r="CI40" s="79"/>
      <c r="CJ40" s="79"/>
      <c r="CK40" s="79"/>
      <c r="CL40" s="79"/>
      <c r="CM40" s="79"/>
      <c r="CN40" s="79"/>
      <c r="CO40" s="79"/>
      <c r="CP40" s="79"/>
      <c r="CQ40" s="79"/>
      <c r="CR40" s="79"/>
      <c r="CS40" s="79"/>
      <c r="CT40" s="79"/>
      <c r="CU40" s="79"/>
      <c r="CV40" s="79"/>
      <c r="CW40" s="79"/>
      <c r="CX40" s="79"/>
      <c r="CY40" s="79"/>
      <c r="CZ40" s="79"/>
      <c r="DA40" s="79"/>
      <c r="DB40" s="79"/>
      <c r="DC40" s="79"/>
      <c r="DD40" s="79"/>
      <c r="DE40" s="79"/>
      <c r="DF40" s="79"/>
      <c r="DG40" s="79"/>
      <c r="DH40" s="79"/>
      <c r="DI40" s="79"/>
      <c r="DJ40" s="79"/>
      <c r="DK40" s="79"/>
      <c r="DL40" s="79"/>
      <c r="DM40" s="79"/>
      <c r="DN40" s="79"/>
      <c r="DO40" s="79"/>
      <c r="DP40" s="79"/>
      <c r="DQ40" s="79"/>
      <c r="DR40" s="79"/>
      <c r="DS40" s="79"/>
    </row>
    <row r="41" spans="1:123" s="80" customFormat="1" ht="21.95" customHeight="1">
      <c r="A41" s="463" t="s">
        <v>589</v>
      </c>
      <c r="B41" s="3149">
        <f>'예산세출(주교)'!Q61</f>
        <v>4707000</v>
      </c>
      <c r="C41" s="3150">
        <f t="shared" si="5"/>
        <v>5.4029998529585125E-4</v>
      </c>
      <c r="D41" s="3149">
        <f>'예산세출(주교)'!R61</f>
        <v>4030000</v>
      </c>
      <c r="E41" s="3150">
        <f t="shared" si="11"/>
        <v>3.9423385541439114E-4</v>
      </c>
      <c r="F41" s="3151">
        <f t="shared" si="13"/>
        <v>677000</v>
      </c>
      <c r="G41" s="3152">
        <f t="shared" si="2"/>
        <v>0.16799007444168734</v>
      </c>
      <c r="H41" s="81"/>
      <c r="I41" s="85"/>
      <c r="J41" s="85"/>
      <c r="K41" s="85"/>
      <c r="L41" s="85"/>
      <c r="M41" s="85"/>
      <c r="N41" s="79"/>
      <c r="O41" s="79"/>
      <c r="P41" s="85"/>
      <c r="Q41" s="85"/>
      <c r="R41" s="85"/>
      <c r="S41" s="85"/>
      <c r="T41" s="85"/>
      <c r="U41" s="85"/>
      <c r="V41" s="85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79"/>
      <c r="BR41" s="79"/>
      <c r="BS41" s="79"/>
      <c r="BT41" s="79"/>
      <c r="BU41" s="79"/>
      <c r="BV41" s="79"/>
      <c r="BW41" s="79"/>
      <c r="BX41" s="79"/>
      <c r="BY41" s="79"/>
      <c r="BZ41" s="79"/>
      <c r="CA41" s="79"/>
      <c r="CB41" s="79"/>
      <c r="CC41" s="79"/>
      <c r="CD41" s="79"/>
      <c r="CE41" s="79"/>
      <c r="CF41" s="79"/>
      <c r="CG41" s="79"/>
      <c r="CH41" s="79"/>
      <c r="CI41" s="79"/>
      <c r="CJ41" s="79"/>
      <c r="CK41" s="79"/>
      <c r="CL41" s="79"/>
      <c r="CM41" s="79"/>
      <c r="CN41" s="79"/>
      <c r="CO41" s="79"/>
      <c r="CP41" s="79"/>
      <c r="CQ41" s="79"/>
      <c r="CR41" s="79"/>
      <c r="CS41" s="79"/>
      <c r="CT41" s="79"/>
      <c r="CU41" s="79"/>
      <c r="CV41" s="79"/>
      <c r="CW41" s="79"/>
      <c r="CX41" s="79"/>
      <c r="CY41" s="79"/>
      <c r="CZ41" s="79"/>
      <c r="DA41" s="79"/>
      <c r="DB41" s="79"/>
      <c r="DC41" s="79"/>
      <c r="DD41" s="79"/>
      <c r="DE41" s="79"/>
      <c r="DF41" s="79"/>
      <c r="DG41" s="79"/>
      <c r="DH41" s="79"/>
      <c r="DI41" s="79"/>
      <c r="DJ41" s="79"/>
      <c r="DK41" s="79"/>
      <c r="DL41" s="79"/>
      <c r="DM41" s="79"/>
      <c r="DN41" s="79"/>
      <c r="DO41" s="79"/>
      <c r="DP41" s="79"/>
      <c r="DQ41" s="79"/>
      <c r="DR41" s="79"/>
      <c r="DS41" s="79"/>
    </row>
    <row r="42" spans="1:123" s="80" customFormat="1" ht="21.95" customHeight="1">
      <c r="A42" s="462" t="s">
        <v>621</v>
      </c>
      <c r="B42" s="3121">
        <f>'예산세출(일산서구)'!Q105</f>
        <v>80637000</v>
      </c>
      <c r="C42" s="3122">
        <f t="shared" si="5"/>
        <v>9.2560377978121011E-3</v>
      </c>
      <c r="D42" s="3121">
        <f>'예산세출(일산서구)'!R105</f>
        <v>53855000</v>
      </c>
      <c r="E42" s="3122">
        <f t="shared" si="11"/>
        <v>5.2683534201841279E-3</v>
      </c>
      <c r="F42" s="3123">
        <f t="shared" si="13"/>
        <v>26782000</v>
      </c>
      <c r="G42" s="3124">
        <f t="shared" si="2"/>
        <v>0.49729830099340822</v>
      </c>
      <c r="H42" s="81"/>
      <c r="I42" s="85"/>
      <c r="J42" s="85"/>
      <c r="K42" s="85"/>
      <c r="L42" s="85"/>
      <c r="M42" s="85"/>
      <c r="N42" s="79"/>
      <c r="O42" s="79"/>
      <c r="P42" s="85"/>
      <c r="Q42" s="85"/>
      <c r="R42" s="85"/>
      <c r="S42" s="85"/>
      <c r="T42" s="85"/>
      <c r="U42" s="85"/>
      <c r="V42" s="85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  <c r="BH42" s="79"/>
      <c r="BI42" s="79"/>
      <c r="BJ42" s="79"/>
      <c r="BK42" s="79"/>
      <c r="BL42" s="79"/>
      <c r="BM42" s="79"/>
      <c r="BN42" s="79"/>
      <c r="BO42" s="79"/>
      <c r="BP42" s="79"/>
      <c r="BQ42" s="79"/>
      <c r="BR42" s="79"/>
      <c r="BS42" s="79"/>
      <c r="BT42" s="79"/>
      <c r="BU42" s="79"/>
      <c r="BV42" s="79"/>
      <c r="BW42" s="79"/>
      <c r="BX42" s="79"/>
      <c r="BY42" s="79"/>
      <c r="BZ42" s="79"/>
      <c r="CA42" s="79"/>
      <c r="CB42" s="79"/>
      <c r="CC42" s="79"/>
      <c r="CD42" s="79"/>
      <c r="CE42" s="79"/>
      <c r="CF42" s="79"/>
      <c r="CG42" s="79"/>
      <c r="CH42" s="79"/>
      <c r="CI42" s="79"/>
      <c r="CJ42" s="79"/>
      <c r="CK42" s="79"/>
      <c r="CL42" s="79"/>
      <c r="CM42" s="79"/>
      <c r="CN42" s="79"/>
      <c r="CO42" s="79"/>
      <c r="CP42" s="79"/>
      <c r="CQ42" s="79"/>
      <c r="CR42" s="79"/>
      <c r="CS42" s="79"/>
      <c r="CT42" s="79"/>
      <c r="CU42" s="79"/>
      <c r="CV42" s="79"/>
      <c r="CW42" s="79"/>
      <c r="CX42" s="79"/>
      <c r="CY42" s="79"/>
      <c r="CZ42" s="79"/>
      <c r="DA42" s="79"/>
      <c r="DB42" s="79"/>
      <c r="DC42" s="79"/>
      <c r="DD42" s="79"/>
      <c r="DE42" s="79"/>
      <c r="DF42" s="79"/>
      <c r="DG42" s="79"/>
      <c r="DH42" s="79"/>
      <c r="DI42" s="79"/>
      <c r="DJ42" s="79"/>
      <c r="DK42" s="79"/>
      <c r="DL42" s="79"/>
      <c r="DM42" s="79"/>
      <c r="DN42" s="79"/>
      <c r="DO42" s="79"/>
      <c r="DP42" s="79"/>
      <c r="DQ42" s="79"/>
      <c r="DR42" s="79"/>
      <c r="DS42" s="79"/>
    </row>
    <row r="43" spans="1:123" s="80" customFormat="1" ht="21.95" customHeight="1">
      <c r="A43" s="439" t="s">
        <v>593</v>
      </c>
      <c r="B43" s="3108">
        <f>'예산세출(토당)'!Q90</f>
        <v>7600000</v>
      </c>
      <c r="C43" s="3096">
        <f t="shared" si="5"/>
        <v>8.7237728664722107E-4</v>
      </c>
      <c r="D43" s="3108">
        <f>'예산세출(토당)'!R90</f>
        <v>5000000</v>
      </c>
      <c r="E43" s="3096">
        <f t="shared" si="11"/>
        <v>4.8912389009229669E-4</v>
      </c>
      <c r="F43" s="3107">
        <f t="shared" si="13"/>
        <v>2600000</v>
      </c>
      <c r="G43" s="3098">
        <f>+F43/D43</f>
        <v>0.52</v>
      </c>
      <c r="H43" s="81"/>
      <c r="I43" s="85"/>
      <c r="J43" s="85"/>
      <c r="K43" s="85"/>
      <c r="L43" s="85"/>
      <c r="M43" s="85"/>
      <c r="N43" s="79"/>
      <c r="O43" s="79"/>
      <c r="P43" s="85"/>
      <c r="Q43" s="85"/>
      <c r="R43" s="85"/>
      <c r="S43" s="85"/>
      <c r="T43" s="85"/>
      <c r="U43" s="85"/>
      <c r="V43" s="85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  <c r="CD43" s="79"/>
      <c r="CE43" s="79"/>
      <c r="CF43" s="79"/>
      <c r="CG43" s="79"/>
      <c r="CH43" s="79"/>
      <c r="CI43" s="79"/>
      <c r="CJ43" s="79"/>
      <c r="CK43" s="79"/>
      <c r="CL43" s="79"/>
      <c r="CM43" s="79"/>
      <c r="CN43" s="79"/>
      <c r="CO43" s="79"/>
      <c r="CP43" s="79"/>
      <c r="CQ43" s="79"/>
      <c r="CR43" s="79"/>
      <c r="CS43" s="79"/>
      <c r="CT43" s="79"/>
      <c r="CU43" s="79"/>
      <c r="CV43" s="79"/>
      <c r="CW43" s="79"/>
      <c r="CX43" s="79"/>
      <c r="CY43" s="79"/>
      <c r="CZ43" s="79"/>
      <c r="DA43" s="79"/>
      <c r="DB43" s="79"/>
      <c r="DC43" s="79"/>
      <c r="DD43" s="79"/>
      <c r="DE43" s="79"/>
      <c r="DF43" s="79"/>
      <c r="DG43" s="79"/>
      <c r="DH43" s="79"/>
      <c r="DI43" s="79"/>
      <c r="DJ43" s="79"/>
      <c r="DK43" s="79"/>
      <c r="DL43" s="79"/>
      <c r="DM43" s="79"/>
      <c r="DN43" s="79"/>
      <c r="DO43" s="79"/>
      <c r="DP43" s="79"/>
      <c r="DQ43" s="79"/>
      <c r="DR43" s="79"/>
      <c r="DS43" s="79"/>
    </row>
    <row r="44" spans="1:123" s="80" customFormat="1" ht="21.95" customHeight="1">
      <c r="A44" s="437" t="s">
        <v>594</v>
      </c>
      <c r="B44" s="3106">
        <f>'예산세출(상담)'!Q135</f>
        <v>12168000</v>
      </c>
      <c r="C44" s="3091">
        <f t="shared" si="5"/>
        <v>1.396721950516235E-3</v>
      </c>
      <c r="D44" s="3106">
        <f>'예산세출(상담)'!R135</f>
        <v>49601000</v>
      </c>
      <c r="E44" s="3091">
        <f t="shared" si="11"/>
        <v>4.8522068144936014E-3</v>
      </c>
      <c r="F44" s="3118">
        <f t="shared" si="13"/>
        <v>-37433000</v>
      </c>
      <c r="G44" s="3093">
        <f t="shared" si="2"/>
        <v>-0.75468236527489363</v>
      </c>
      <c r="H44" s="81"/>
      <c r="I44" s="85"/>
      <c r="J44" s="85"/>
      <c r="K44" s="85"/>
      <c r="L44" s="85"/>
      <c r="M44" s="85"/>
      <c r="N44" s="79"/>
      <c r="O44" s="79"/>
      <c r="P44" s="85"/>
      <c r="Q44" s="85"/>
      <c r="R44" s="85"/>
      <c r="S44" s="85"/>
      <c r="T44" s="85"/>
      <c r="U44" s="85"/>
      <c r="V44" s="85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79"/>
      <c r="DD44" s="79"/>
      <c r="DE44" s="79"/>
      <c r="DF44" s="79"/>
      <c r="DG44" s="79"/>
      <c r="DH44" s="79"/>
      <c r="DI44" s="79"/>
      <c r="DJ44" s="79"/>
      <c r="DK44" s="79"/>
      <c r="DL44" s="79"/>
      <c r="DM44" s="79"/>
      <c r="DN44" s="79"/>
      <c r="DO44" s="79"/>
      <c r="DP44" s="79"/>
      <c r="DQ44" s="79"/>
      <c r="DR44" s="79"/>
      <c r="DS44" s="79"/>
    </row>
    <row r="45" spans="1:123" s="80" customFormat="1" ht="21.95" customHeight="1">
      <c r="A45" s="437" t="s">
        <v>590</v>
      </c>
      <c r="B45" s="3106">
        <f>'예산세출(화정)'!Q84</f>
        <v>30000000</v>
      </c>
      <c r="C45" s="3091">
        <f t="shared" si="5"/>
        <v>3.44359455255482E-3</v>
      </c>
      <c r="D45" s="3106">
        <f>'예산세출(화정)'!R84</f>
        <v>32226000</v>
      </c>
      <c r="E45" s="3091">
        <f t="shared" si="11"/>
        <v>3.1525012964228709E-3</v>
      </c>
      <c r="F45" s="3118">
        <f t="shared" si="13"/>
        <v>-2226000</v>
      </c>
      <c r="G45" s="3093">
        <f t="shared" si="2"/>
        <v>-6.9074660212250977E-2</v>
      </c>
      <c r="H45" s="81"/>
      <c r="I45" s="85"/>
      <c r="J45" s="85"/>
      <c r="K45" s="85"/>
      <c r="L45" s="85"/>
      <c r="M45" s="85"/>
      <c r="N45" s="79"/>
      <c r="O45" s="79"/>
      <c r="P45" s="85"/>
      <c r="Q45" s="85"/>
      <c r="R45" s="85"/>
      <c r="S45" s="85"/>
      <c r="T45" s="85"/>
      <c r="U45" s="85"/>
      <c r="V45" s="85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/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  <c r="CV45" s="79"/>
      <c r="CW45" s="79"/>
      <c r="CX45" s="79"/>
      <c r="CY45" s="79"/>
      <c r="CZ45" s="79"/>
      <c r="DA45" s="79"/>
      <c r="DB45" s="79"/>
      <c r="DC45" s="79"/>
      <c r="DD45" s="79"/>
      <c r="DE45" s="79"/>
      <c r="DF45" s="79"/>
      <c r="DG45" s="79"/>
      <c r="DH45" s="79"/>
      <c r="DI45" s="79"/>
      <c r="DJ45" s="79"/>
      <c r="DK45" s="79"/>
      <c r="DL45" s="79"/>
      <c r="DM45" s="79"/>
      <c r="DN45" s="79"/>
      <c r="DO45" s="79"/>
      <c r="DP45" s="79"/>
      <c r="DQ45" s="79"/>
      <c r="DR45" s="79"/>
      <c r="DS45" s="79"/>
    </row>
    <row r="46" spans="1:123" s="80" customFormat="1" ht="21.95" customHeight="1">
      <c r="A46" s="462" t="s">
        <v>499</v>
      </c>
      <c r="B46" s="3108">
        <f>'예산세출(백마)'!Q79</f>
        <v>6610000</v>
      </c>
      <c r="C46" s="3096">
        <f t="shared" ref="C46" si="14">+B46/$B$7</f>
        <v>7.5873866641291206E-4</v>
      </c>
      <c r="D46" s="3108">
        <v>0</v>
      </c>
      <c r="E46" s="3091">
        <f t="shared" ref="E46" si="15">+D46/$D$7</f>
        <v>0</v>
      </c>
      <c r="F46" s="3107">
        <f t="shared" ref="F46" si="16">+B46-D46</f>
        <v>6610000</v>
      </c>
      <c r="G46" s="3098"/>
      <c r="H46" s="81"/>
      <c r="I46" s="85"/>
      <c r="J46" s="85"/>
      <c r="K46" s="85"/>
      <c r="L46" s="85"/>
      <c r="M46" s="85"/>
      <c r="N46" s="79"/>
      <c r="O46" s="79"/>
      <c r="P46" s="85"/>
      <c r="Q46" s="85"/>
      <c r="R46" s="85"/>
      <c r="S46" s="85"/>
      <c r="T46" s="85"/>
      <c r="U46" s="85"/>
      <c r="V46" s="85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  <c r="BY46" s="79"/>
      <c r="BZ46" s="79"/>
      <c r="CA46" s="79"/>
      <c r="CB46" s="79"/>
      <c r="CC46" s="79"/>
      <c r="CD46" s="79"/>
      <c r="CE46" s="79"/>
      <c r="CF46" s="79"/>
      <c r="CG46" s="79"/>
      <c r="CH46" s="79"/>
      <c r="CI46" s="79"/>
      <c r="CJ46" s="79"/>
      <c r="CK46" s="79"/>
      <c r="CL46" s="79"/>
      <c r="CM46" s="79"/>
      <c r="CN46" s="79"/>
      <c r="CO46" s="79"/>
      <c r="CP46" s="79"/>
      <c r="CQ46" s="79"/>
      <c r="CR46" s="79"/>
      <c r="CS46" s="79"/>
      <c r="CT46" s="79"/>
      <c r="CU46" s="79"/>
      <c r="CV46" s="79"/>
      <c r="CW46" s="79"/>
      <c r="CX46" s="79"/>
      <c r="CY46" s="79"/>
      <c r="CZ46" s="79"/>
      <c r="DA46" s="79"/>
      <c r="DB46" s="79"/>
      <c r="DC46" s="79"/>
      <c r="DD46" s="79"/>
      <c r="DE46" s="79"/>
      <c r="DF46" s="79"/>
      <c r="DG46" s="79"/>
      <c r="DH46" s="79"/>
      <c r="DI46" s="79"/>
      <c r="DJ46" s="79"/>
      <c r="DK46" s="79"/>
      <c r="DL46" s="79"/>
      <c r="DM46" s="79"/>
      <c r="DN46" s="79"/>
      <c r="DO46" s="79"/>
      <c r="DP46" s="79"/>
      <c r="DQ46" s="79"/>
      <c r="DR46" s="79"/>
      <c r="DS46" s="79"/>
    </row>
    <row r="47" spans="1:123" s="80" customFormat="1" ht="21.95" customHeight="1">
      <c r="A47" s="441" t="s">
        <v>531</v>
      </c>
      <c r="B47" s="3153">
        <f>'예산세출(능곡)'!Q68</f>
        <v>18500000</v>
      </c>
      <c r="C47" s="3112">
        <f t="shared" si="5"/>
        <v>2.1235499740754724E-3</v>
      </c>
      <c r="D47" s="3153">
        <f>'예산세출(능곡)'!R68</f>
        <v>10500000</v>
      </c>
      <c r="E47" s="3112">
        <f t="shared" si="11"/>
        <v>1.0271601691938231E-3</v>
      </c>
      <c r="F47" s="3107">
        <f t="shared" si="13"/>
        <v>8000000</v>
      </c>
      <c r="G47" s="3098">
        <f t="shared" si="2"/>
        <v>0.76190476190476186</v>
      </c>
      <c r="H47" s="81"/>
      <c r="I47" s="85"/>
      <c r="J47" s="85"/>
      <c r="K47" s="85"/>
      <c r="L47" s="85"/>
      <c r="M47" s="85"/>
      <c r="N47" s="79"/>
      <c r="O47" s="79"/>
      <c r="P47" s="85"/>
      <c r="Q47" s="85"/>
      <c r="R47" s="85"/>
      <c r="S47" s="85"/>
      <c r="T47" s="85"/>
      <c r="U47" s="85"/>
      <c r="V47" s="85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  <c r="BS47" s="79"/>
      <c r="BT47" s="79"/>
      <c r="BU47" s="79"/>
      <c r="BV47" s="79"/>
      <c r="BW47" s="79"/>
      <c r="BX47" s="79"/>
      <c r="BY47" s="79"/>
      <c r="BZ47" s="79"/>
      <c r="CA47" s="79"/>
      <c r="CB47" s="79"/>
      <c r="CC47" s="79"/>
      <c r="CD47" s="79"/>
      <c r="CE47" s="79"/>
      <c r="CF47" s="79"/>
      <c r="CG47" s="79"/>
      <c r="CH47" s="79"/>
      <c r="CI47" s="79"/>
      <c r="CJ47" s="79"/>
      <c r="CK47" s="79"/>
      <c r="CL47" s="79"/>
      <c r="CM47" s="79"/>
      <c r="CN47" s="79"/>
      <c r="CO47" s="79"/>
      <c r="CP47" s="79"/>
      <c r="CQ47" s="79"/>
      <c r="CR47" s="79"/>
      <c r="CS47" s="79"/>
      <c r="CT47" s="79"/>
      <c r="CU47" s="79"/>
      <c r="CV47" s="79"/>
      <c r="CW47" s="79"/>
      <c r="CX47" s="79"/>
      <c r="CY47" s="79"/>
      <c r="CZ47" s="79"/>
      <c r="DA47" s="79"/>
      <c r="DB47" s="79"/>
      <c r="DC47" s="79"/>
      <c r="DD47" s="79"/>
      <c r="DE47" s="79"/>
      <c r="DF47" s="79"/>
      <c r="DG47" s="79"/>
      <c r="DH47" s="79"/>
      <c r="DI47" s="79"/>
      <c r="DJ47" s="79"/>
      <c r="DK47" s="79"/>
      <c r="DL47" s="79"/>
      <c r="DM47" s="79"/>
      <c r="DN47" s="79"/>
      <c r="DO47" s="79"/>
      <c r="DP47" s="79"/>
      <c r="DQ47" s="79"/>
      <c r="DR47" s="79"/>
      <c r="DS47" s="79"/>
    </row>
    <row r="48" spans="1:123" s="80" customFormat="1" ht="21.95" customHeight="1">
      <c r="A48" s="283" t="s">
        <v>688</v>
      </c>
      <c r="B48" s="284">
        <f>SUM(B49:B55)</f>
        <v>0</v>
      </c>
      <c r="C48" s="285">
        <f>+B48/$B$7</f>
        <v>0</v>
      </c>
      <c r="D48" s="284">
        <f>SUM(D49:D55)</f>
        <v>1553941000</v>
      </c>
      <c r="E48" s="285">
        <f>+D48/$D$7</f>
        <v>0.15201393337878272</v>
      </c>
      <c r="F48" s="287">
        <f>SUM(F49:F55)</f>
        <v>-1553941000</v>
      </c>
      <c r="G48" s="288">
        <f>+F48/D48</f>
        <v>-1</v>
      </c>
      <c r="H48" s="86"/>
      <c r="I48" s="85"/>
      <c r="J48" s="85"/>
      <c r="K48" s="85"/>
      <c r="L48" s="85"/>
      <c r="M48" s="85"/>
      <c r="N48" s="79"/>
      <c r="O48" s="79"/>
      <c r="P48" s="85"/>
      <c r="Q48" s="85"/>
      <c r="R48" s="85"/>
      <c r="S48" s="85"/>
      <c r="T48" s="85"/>
      <c r="U48" s="85"/>
      <c r="V48" s="85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  <c r="BS48" s="79"/>
      <c r="BT48" s="79"/>
      <c r="BU48" s="79"/>
      <c r="BV48" s="79"/>
      <c r="BW48" s="79"/>
      <c r="BX48" s="79"/>
      <c r="BY48" s="79"/>
      <c r="BZ48" s="79"/>
      <c r="CA48" s="79"/>
      <c r="CB48" s="79"/>
      <c r="CC48" s="79"/>
      <c r="CD48" s="79"/>
      <c r="CE48" s="79"/>
      <c r="CF48" s="79"/>
      <c r="CG48" s="79"/>
      <c r="CH48" s="79"/>
      <c r="CI48" s="79"/>
      <c r="CJ48" s="79"/>
      <c r="CK48" s="79"/>
      <c r="CL48" s="79"/>
      <c r="CM48" s="79"/>
      <c r="CN48" s="79"/>
      <c r="CO48" s="79"/>
      <c r="CP48" s="79"/>
      <c r="CQ48" s="79"/>
      <c r="CR48" s="79"/>
      <c r="CS48" s="79"/>
      <c r="CT48" s="79"/>
      <c r="CU48" s="79"/>
      <c r="CV48" s="79"/>
      <c r="CW48" s="79"/>
      <c r="CX48" s="79"/>
      <c r="CY48" s="79"/>
      <c r="CZ48" s="79"/>
      <c r="DA48" s="79"/>
      <c r="DB48" s="79"/>
      <c r="DC48" s="79"/>
      <c r="DD48" s="79"/>
      <c r="DE48" s="79"/>
      <c r="DF48" s="79"/>
      <c r="DG48" s="79"/>
      <c r="DH48" s="79"/>
      <c r="DI48" s="79"/>
      <c r="DJ48" s="79"/>
      <c r="DK48" s="79"/>
      <c r="DL48" s="79"/>
      <c r="DM48" s="79"/>
      <c r="DN48" s="79"/>
      <c r="DO48" s="79"/>
      <c r="DP48" s="79"/>
      <c r="DQ48" s="79"/>
      <c r="DR48" s="79"/>
      <c r="DS48" s="79"/>
    </row>
    <row r="49" spans="1:123" s="80" customFormat="1" ht="21.95" customHeight="1">
      <c r="A49" s="437" t="s">
        <v>572</v>
      </c>
      <c r="B49" s="3106">
        <f>'예산세출(사무국)'!Q208</f>
        <v>0</v>
      </c>
      <c r="C49" s="3091">
        <f t="shared" si="5"/>
        <v>0</v>
      </c>
      <c r="D49" s="3106">
        <f>'예산세출(사무국)'!R208</f>
        <v>2800000</v>
      </c>
      <c r="E49" s="3091">
        <f t="shared" si="11"/>
        <v>2.7390937845168614E-4</v>
      </c>
      <c r="F49" s="3107">
        <f>+B49-D49</f>
        <v>-2800000</v>
      </c>
      <c r="G49" s="3098">
        <f t="shared" si="2"/>
        <v>-1</v>
      </c>
      <c r="H49" s="81"/>
      <c r="I49" s="85"/>
      <c r="J49" s="85"/>
      <c r="K49" s="85"/>
      <c r="L49" s="85"/>
      <c r="M49" s="85"/>
      <c r="N49" s="79"/>
      <c r="O49" s="79"/>
      <c r="P49" s="85"/>
      <c r="Q49" s="85"/>
      <c r="R49" s="85"/>
      <c r="S49" s="85"/>
      <c r="T49" s="85"/>
      <c r="U49" s="85"/>
      <c r="V49" s="85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/>
      <c r="BP49" s="79"/>
      <c r="BQ49" s="79"/>
      <c r="BR49" s="79"/>
      <c r="BS49" s="79"/>
      <c r="BT49" s="79"/>
      <c r="BU49" s="79"/>
      <c r="BV49" s="79"/>
      <c r="BW49" s="79"/>
      <c r="BX49" s="79"/>
      <c r="BY49" s="79"/>
      <c r="BZ49" s="79"/>
      <c r="CA49" s="79"/>
      <c r="CB49" s="79"/>
      <c r="CC49" s="79"/>
      <c r="CD49" s="79"/>
      <c r="CE49" s="79"/>
      <c r="CF49" s="79"/>
      <c r="CG49" s="79"/>
      <c r="CH49" s="79"/>
      <c r="CI49" s="79"/>
      <c r="CJ49" s="79"/>
      <c r="CK49" s="79"/>
      <c r="CL49" s="79"/>
      <c r="CM49" s="79"/>
      <c r="CN49" s="79"/>
      <c r="CO49" s="79"/>
      <c r="CP49" s="79"/>
      <c r="CQ49" s="79"/>
      <c r="CR49" s="79"/>
      <c r="CS49" s="79"/>
      <c r="CT49" s="79"/>
      <c r="CU49" s="79"/>
      <c r="CV49" s="79"/>
      <c r="CW49" s="79"/>
      <c r="CX49" s="79"/>
      <c r="CY49" s="79"/>
      <c r="CZ49" s="79"/>
      <c r="DA49" s="79"/>
      <c r="DB49" s="79"/>
      <c r="DC49" s="79"/>
      <c r="DD49" s="79"/>
      <c r="DE49" s="79"/>
      <c r="DF49" s="79"/>
      <c r="DG49" s="79"/>
      <c r="DH49" s="79"/>
      <c r="DI49" s="79"/>
      <c r="DJ49" s="79"/>
      <c r="DK49" s="79"/>
      <c r="DL49" s="79"/>
      <c r="DM49" s="79"/>
      <c r="DN49" s="79"/>
      <c r="DO49" s="79"/>
      <c r="DP49" s="79"/>
      <c r="DQ49" s="79"/>
      <c r="DR49" s="79"/>
      <c r="DS49" s="79"/>
    </row>
    <row r="50" spans="1:123" s="80" customFormat="1" ht="21.95" customHeight="1">
      <c r="A50" s="439" t="s">
        <v>180</v>
      </c>
      <c r="B50" s="3108">
        <f>'예산세출(마두)'!Q122</f>
        <v>0</v>
      </c>
      <c r="C50" s="3096">
        <f t="shared" si="5"/>
        <v>0</v>
      </c>
      <c r="D50" s="3108">
        <f>'예산세출(마두)'!R123</f>
        <v>29000000</v>
      </c>
      <c r="E50" s="3091">
        <f t="shared" si="11"/>
        <v>2.8369185625353207E-3</v>
      </c>
      <c r="F50" s="3107">
        <f t="shared" ref="F50:F55" si="17">+B50-D50</f>
        <v>-29000000</v>
      </c>
      <c r="G50" s="3098">
        <f t="shared" si="2"/>
        <v>-1</v>
      </c>
      <c r="H50" s="81"/>
      <c r="I50" s="85"/>
      <c r="J50" s="85"/>
      <c r="K50" s="85"/>
      <c r="L50" s="85"/>
      <c r="M50" s="85"/>
      <c r="N50" s="79"/>
      <c r="O50" s="79"/>
      <c r="P50" s="85"/>
      <c r="Q50" s="85"/>
      <c r="R50" s="85"/>
      <c r="S50" s="85"/>
      <c r="T50" s="85"/>
      <c r="U50" s="85"/>
      <c r="V50" s="85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  <c r="BY50" s="79"/>
      <c r="BZ50" s="79"/>
      <c r="CA50" s="79"/>
      <c r="CB50" s="79"/>
      <c r="CC50" s="79"/>
      <c r="CD50" s="79"/>
      <c r="CE50" s="79"/>
      <c r="CF50" s="79"/>
      <c r="CG50" s="79"/>
      <c r="CH50" s="79"/>
      <c r="CI50" s="79"/>
      <c r="CJ50" s="79"/>
      <c r="CK50" s="79"/>
      <c r="CL50" s="79"/>
      <c r="CM50" s="79"/>
      <c r="CN50" s="79"/>
      <c r="CO50" s="79"/>
      <c r="CP50" s="79"/>
      <c r="CQ50" s="79"/>
      <c r="CR50" s="79"/>
      <c r="CS50" s="79"/>
      <c r="CT50" s="79"/>
      <c r="CU50" s="79"/>
      <c r="CV50" s="79"/>
      <c r="CW50" s="79"/>
      <c r="CX50" s="79"/>
      <c r="CY50" s="79"/>
      <c r="CZ50" s="79"/>
      <c r="DA50" s="79"/>
      <c r="DB50" s="79"/>
      <c r="DC50" s="79"/>
      <c r="DD50" s="79"/>
      <c r="DE50" s="79"/>
      <c r="DF50" s="79"/>
      <c r="DG50" s="79"/>
      <c r="DH50" s="79"/>
      <c r="DI50" s="79"/>
      <c r="DJ50" s="79"/>
      <c r="DK50" s="79"/>
      <c r="DL50" s="79"/>
      <c r="DM50" s="79"/>
      <c r="DN50" s="79"/>
      <c r="DO50" s="79"/>
      <c r="DP50" s="79"/>
      <c r="DQ50" s="79"/>
      <c r="DR50" s="79"/>
      <c r="DS50" s="79"/>
    </row>
    <row r="51" spans="1:123" s="80" customFormat="1" ht="21.95" customHeight="1">
      <c r="A51" s="439" t="s">
        <v>236</v>
      </c>
      <c r="B51" s="3108">
        <f>'예산세출(진로)'!Q79</f>
        <v>0</v>
      </c>
      <c r="C51" s="3096">
        <f t="shared" si="5"/>
        <v>0</v>
      </c>
      <c r="D51" s="3108">
        <f>'예산세출(진로)'!R79</f>
        <v>286300000</v>
      </c>
      <c r="E51" s="3091">
        <f t="shared" si="11"/>
        <v>2.800723394668491E-2</v>
      </c>
      <c r="F51" s="3107">
        <f t="shared" si="17"/>
        <v>-286300000</v>
      </c>
      <c r="G51" s="3098">
        <f t="shared" si="2"/>
        <v>-1</v>
      </c>
      <c r="H51" s="81"/>
      <c r="I51" s="85"/>
      <c r="J51" s="85"/>
      <c r="K51" s="85"/>
      <c r="L51" s="85"/>
      <c r="M51" s="85"/>
      <c r="N51" s="79"/>
      <c r="O51" s="79"/>
      <c r="P51" s="85"/>
      <c r="Q51" s="85"/>
      <c r="R51" s="85"/>
      <c r="S51" s="85"/>
      <c r="T51" s="85"/>
      <c r="U51" s="85"/>
      <c r="V51" s="85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  <c r="BY51" s="79"/>
      <c r="BZ51" s="79"/>
      <c r="CA51" s="79"/>
      <c r="CB51" s="79"/>
      <c r="CC51" s="79"/>
      <c r="CD51" s="79"/>
      <c r="CE51" s="79"/>
      <c r="CF51" s="79"/>
      <c r="CG51" s="79"/>
      <c r="CH51" s="79"/>
      <c r="CI51" s="79"/>
      <c r="CJ51" s="79"/>
      <c r="CK51" s="79"/>
      <c r="CL51" s="79"/>
      <c r="CM51" s="79"/>
      <c r="CN51" s="79"/>
      <c r="CO51" s="79"/>
      <c r="CP51" s="79"/>
      <c r="CQ51" s="79"/>
      <c r="CR51" s="79"/>
      <c r="CS51" s="79"/>
      <c r="CT51" s="79"/>
      <c r="CU51" s="79"/>
      <c r="CV51" s="79"/>
      <c r="CW51" s="79"/>
      <c r="CX51" s="79"/>
      <c r="CY51" s="79"/>
      <c r="CZ51" s="79"/>
      <c r="DA51" s="79"/>
      <c r="DB51" s="79"/>
      <c r="DC51" s="79"/>
      <c r="DD51" s="79"/>
      <c r="DE51" s="79"/>
      <c r="DF51" s="79"/>
      <c r="DG51" s="79"/>
      <c r="DH51" s="79"/>
      <c r="DI51" s="79"/>
      <c r="DJ51" s="79"/>
      <c r="DK51" s="79"/>
      <c r="DL51" s="79"/>
      <c r="DM51" s="79"/>
      <c r="DN51" s="79"/>
      <c r="DO51" s="79"/>
      <c r="DP51" s="79"/>
      <c r="DQ51" s="79"/>
      <c r="DR51" s="79"/>
      <c r="DS51" s="79"/>
    </row>
    <row r="52" spans="1:123" s="80" customFormat="1" ht="21.95" customHeight="1">
      <c r="A52" s="439" t="s">
        <v>270</v>
      </c>
      <c r="B52" s="3108">
        <f>'예산세출(성사)'!Q99</f>
        <v>0</v>
      </c>
      <c r="C52" s="3096">
        <f t="shared" si="5"/>
        <v>0</v>
      </c>
      <c r="D52" s="3108">
        <f>'예산세출(성사)'!R99</f>
        <v>229944000</v>
      </c>
      <c r="E52" s="3091">
        <f t="shared" si="11"/>
        <v>2.2494220756676616E-2</v>
      </c>
      <c r="F52" s="3107">
        <f t="shared" si="17"/>
        <v>-229944000</v>
      </c>
      <c r="G52" s="3098">
        <f t="shared" si="2"/>
        <v>-1</v>
      </c>
      <c r="H52" s="81"/>
      <c r="I52" s="85"/>
      <c r="J52" s="85"/>
      <c r="K52" s="85"/>
      <c r="L52" s="85"/>
      <c r="M52" s="85"/>
      <c r="N52" s="79"/>
      <c r="O52" s="79"/>
      <c r="P52" s="85"/>
      <c r="Q52" s="85"/>
      <c r="R52" s="85"/>
      <c r="S52" s="85"/>
      <c r="T52" s="85"/>
      <c r="U52" s="85"/>
      <c r="V52" s="85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  <c r="BS52" s="79"/>
      <c r="BT52" s="79"/>
      <c r="BU52" s="79"/>
      <c r="BV52" s="79"/>
      <c r="BW52" s="79"/>
      <c r="BX52" s="79"/>
      <c r="BY52" s="79"/>
      <c r="BZ52" s="79"/>
      <c r="CA52" s="79"/>
      <c r="CB52" s="79"/>
      <c r="CC52" s="79"/>
      <c r="CD52" s="79"/>
      <c r="CE52" s="79"/>
      <c r="CF52" s="79"/>
      <c r="CG52" s="79"/>
      <c r="CH52" s="79"/>
      <c r="CI52" s="79"/>
      <c r="CJ52" s="79"/>
      <c r="CK52" s="79"/>
      <c r="CL52" s="79"/>
      <c r="CM52" s="79"/>
      <c r="CN52" s="79"/>
      <c r="CO52" s="79"/>
      <c r="CP52" s="79"/>
      <c r="CQ52" s="79"/>
      <c r="CR52" s="79"/>
      <c r="CS52" s="79"/>
      <c r="CT52" s="79"/>
      <c r="CU52" s="79"/>
      <c r="CV52" s="79"/>
      <c r="CW52" s="79"/>
      <c r="CX52" s="79"/>
      <c r="CY52" s="79"/>
      <c r="CZ52" s="79"/>
      <c r="DA52" s="79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79"/>
      <c r="DP52" s="79"/>
      <c r="DQ52" s="79"/>
      <c r="DR52" s="79"/>
      <c r="DS52" s="79"/>
    </row>
    <row r="53" spans="1:123" s="80" customFormat="1" ht="21.95" customHeight="1">
      <c r="A53" s="439" t="s">
        <v>303</v>
      </c>
      <c r="B53" s="3108">
        <f>'예산세출(탄현)'!Q53</f>
        <v>0</v>
      </c>
      <c r="C53" s="3096">
        <f t="shared" si="5"/>
        <v>0</v>
      </c>
      <c r="D53" s="3108">
        <f>'예산세출(탄현)'!R53</f>
        <v>2000000</v>
      </c>
      <c r="E53" s="3091">
        <f t="shared" si="11"/>
        <v>1.9564955603691868E-4</v>
      </c>
      <c r="F53" s="3107">
        <f t="shared" si="17"/>
        <v>-2000000</v>
      </c>
      <c r="G53" s="3098">
        <f t="shared" si="2"/>
        <v>-1</v>
      </c>
      <c r="H53" s="81"/>
      <c r="I53" s="85"/>
      <c r="J53" s="85"/>
      <c r="K53" s="85"/>
      <c r="L53" s="85"/>
      <c r="M53" s="85"/>
      <c r="N53" s="79"/>
      <c r="O53" s="79"/>
      <c r="P53" s="85"/>
      <c r="Q53" s="85"/>
      <c r="R53" s="85"/>
      <c r="S53" s="85"/>
      <c r="T53" s="85"/>
      <c r="U53" s="85"/>
      <c r="V53" s="85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9"/>
      <c r="BL53" s="79"/>
      <c r="BM53" s="79"/>
      <c r="BN53" s="79"/>
      <c r="BO53" s="79"/>
      <c r="BP53" s="79"/>
      <c r="BQ53" s="79"/>
      <c r="BR53" s="79"/>
      <c r="BS53" s="79"/>
      <c r="BT53" s="79"/>
      <c r="BU53" s="79"/>
      <c r="BV53" s="79"/>
      <c r="BW53" s="79"/>
      <c r="BX53" s="79"/>
      <c r="BY53" s="79"/>
      <c r="BZ53" s="79"/>
      <c r="CA53" s="79"/>
      <c r="CB53" s="79"/>
      <c r="CC53" s="79"/>
      <c r="CD53" s="79"/>
      <c r="CE53" s="79"/>
      <c r="CF53" s="79"/>
      <c r="CG53" s="79"/>
      <c r="CH53" s="79"/>
      <c r="CI53" s="79"/>
      <c r="CJ53" s="79"/>
      <c r="CK53" s="79"/>
      <c r="CL53" s="79"/>
      <c r="CM53" s="79"/>
      <c r="CN53" s="79"/>
      <c r="CO53" s="79"/>
      <c r="CP53" s="79"/>
      <c r="CQ53" s="79"/>
      <c r="CR53" s="79"/>
      <c r="CS53" s="79"/>
      <c r="CT53" s="79"/>
      <c r="CU53" s="79"/>
      <c r="CV53" s="79"/>
      <c r="CW53" s="79"/>
      <c r="CX53" s="79"/>
      <c r="CY53" s="79"/>
      <c r="CZ53" s="79"/>
      <c r="DA53" s="79"/>
      <c r="DB53" s="79"/>
      <c r="DC53" s="79"/>
      <c r="DD53" s="79"/>
      <c r="DE53" s="79"/>
      <c r="DF53" s="79"/>
      <c r="DG53" s="79"/>
      <c r="DH53" s="79"/>
      <c r="DI53" s="79"/>
      <c r="DJ53" s="79"/>
      <c r="DK53" s="79"/>
      <c r="DL53" s="79"/>
      <c r="DM53" s="79"/>
      <c r="DN53" s="79"/>
      <c r="DO53" s="79"/>
      <c r="DP53" s="79"/>
      <c r="DQ53" s="79"/>
      <c r="DR53" s="79"/>
      <c r="DS53" s="79"/>
    </row>
    <row r="54" spans="1:123" s="80" customFormat="1" ht="21.95" customHeight="1">
      <c r="A54" s="439" t="s">
        <v>405</v>
      </c>
      <c r="B54" s="3108">
        <f>'예산세출(토당)'!Q87</f>
        <v>0</v>
      </c>
      <c r="C54" s="3096">
        <f t="shared" si="5"/>
        <v>0</v>
      </c>
      <c r="D54" s="3108">
        <f>'예산세출(토당)'!R87</f>
        <v>235394000</v>
      </c>
      <c r="E54" s="3096">
        <f t="shared" si="11"/>
        <v>2.3027365796877218E-2</v>
      </c>
      <c r="F54" s="3107">
        <f t="shared" si="17"/>
        <v>-235394000</v>
      </c>
      <c r="G54" s="3098">
        <f t="shared" si="2"/>
        <v>-1</v>
      </c>
      <c r="H54" s="81"/>
      <c r="I54" s="85"/>
      <c r="J54" s="85"/>
      <c r="K54" s="85"/>
      <c r="L54" s="85"/>
      <c r="M54" s="85"/>
      <c r="N54" s="79"/>
      <c r="O54" s="79"/>
      <c r="P54" s="85"/>
      <c r="Q54" s="85"/>
      <c r="R54" s="85"/>
      <c r="S54" s="85"/>
      <c r="T54" s="85"/>
      <c r="U54" s="85"/>
      <c r="V54" s="85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  <c r="CD54" s="79"/>
      <c r="CE54" s="79"/>
      <c r="CF54" s="79"/>
      <c r="CG54" s="79"/>
      <c r="CH54" s="79"/>
      <c r="CI54" s="79"/>
      <c r="CJ54" s="79"/>
      <c r="CK54" s="79"/>
      <c r="CL54" s="79"/>
      <c r="CM54" s="79"/>
      <c r="CN54" s="79"/>
      <c r="CO54" s="79"/>
      <c r="CP54" s="79"/>
      <c r="CQ54" s="79"/>
      <c r="CR54" s="79"/>
      <c r="CS54" s="79"/>
      <c r="CT54" s="79"/>
      <c r="CU54" s="79"/>
      <c r="CV54" s="79"/>
      <c r="CW54" s="79"/>
      <c r="CX54" s="79"/>
      <c r="CY54" s="79"/>
      <c r="CZ54" s="79"/>
      <c r="DA54" s="79"/>
      <c r="DB54" s="79"/>
      <c r="DC54" s="79"/>
      <c r="DD54" s="79"/>
      <c r="DE54" s="79"/>
      <c r="DF54" s="79"/>
      <c r="DG54" s="79"/>
      <c r="DH54" s="79"/>
      <c r="DI54" s="79"/>
      <c r="DJ54" s="79"/>
      <c r="DK54" s="79"/>
      <c r="DL54" s="79"/>
      <c r="DM54" s="79"/>
      <c r="DN54" s="79"/>
      <c r="DO54" s="79"/>
      <c r="DP54" s="79"/>
      <c r="DQ54" s="79"/>
      <c r="DR54" s="79"/>
      <c r="DS54" s="79"/>
    </row>
    <row r="55" spans="1:123" s="80" customFormat="1" ht="21.95" customHeight="1">
      <c r="A55" s="437" t="s">
        <v>447</v>
      </c>
      <c r="B55" s="3106">
        <f>'예산세출(상담)'!Q133</f>
        <v>0</v>
      </c>
      <c r="C55" s="3091">
        <f t="shared" si="5"/>
        <v>0</v>
      </c>
      <c r="D55" s="3106">
        <f>'예산세출(상담)'!R134</f>
        <v>768503000</v>
      </c>
      <c r="E55" s="3091">
        <f t="shared" si="11"/>
        <v>7.5178635381520059E-2</v>
      </c>
      <c r="F55" s="3107">
        <f t="shared" si="17"/>
        <v>-768503000</v>
      </c>
      <c r="G55" s="3098">
        <f t="shared" si="2"/>
        <v>-1</v>
      </c>
      <c r="H55" s="81"/>
      <c r="I55" s="85"/>
      <c r="J55" s="85"/>
      <c r="K55" s="85"/>
      <c r="L55" s="85"/>
      <c r="M55" s="85"/>
      <c r="N55" s="79"/>
      <c r="O55" s="79"/>
      <c r="P55" s="85"/>
      <c r="Q55" s="85"/>
      <c r="R55" s="85"/>
      <c r="S55" s="85"/>
      <c r="T55" s="85"/>
      <c r="U55" s="85"/>
      <c r="V55" s="85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  <c r="CD55" s="79"/>
      <c r="CE55" s="79"/>
      <c r="CF55" s="79"/>
      <c r="CG55" s="79"/>
      <c r="CH55" s="79"/>
      <c r="CI55" s="79"/>
      <c r="CJ55" s="79"/>
      <c r="CK55" s="79"/>
      <c r="CL55" s="79"/>
      <c r="CM55" s="79"/>
      <c r="CN55" s="79"/>
      <c r="CO55" s="79"/>
      <c r="CP55" s="79"/>
      <c r="CQ55" s="79"/>
      <c r="CR55" s="79"/>
      <c r="CS55" s="79"/>
      <c r="CT55" s="79"/>
      <c r="CU55" s="79"/>
      <c r="CV55" s="79"/>
      <c r="CW55" s="79"/>
      <c r="CX55" s="79"/>
      <c r="CY55" s="79"/>
      <c r="CZ55" s="79"/>
      <c r="DA55" s="79"/>
      <c r="DB55" s="79"/>
      <c r="DC55" s="79"/>
      <c r="DD55" s="79"/>
      <c r="DE55" s="79"/>
      <c r="DF55" s="79"/>
      <c r="DG55" s="79"/>
      <c r="DH55" s="79"/>
      <c r="DI55" s="79"/>
      <c r="DJ55" s="79"/>
      <c r="DK55" s="79"/>
      <c r="DL55" s="79"/>
      <c r="DM55" s="79"/>
      <c r="DN55" s="79"/>
      <c r="DO55" s="79"/>
      <c r="DP55" s="79"/>
      <c r="DQ55" s="79"/>
      <c r="DR55" s="79"/>
      <c r="DS55" s="79"/>
    </row>
    <row r="56" spans="1:123" s="80" customFormat="1" ht="21.95" customHeight="1">
      <c r="A56" s="283" t="s">
        <v>689</v>
      </c>
      <c r="B56" s="284">
        <f>SUM(B57:B57)</f>
        <v>0</v>
      </c>
      <c r="C56" s="285">
        <f t="shared" ref="C56:C57" si="18">+B56/$B$7</f>
        <v>0</v>
      </c>
      <c r="D56" s="284">
        <f>SUM(D57:D57)</f>
        <v>44000000</v>
      </c>
      <c r="E56" s="285">
        <f t="shared" ref="E56:E57" si="19">+D56/$D$7</f>
        <v>4.304290232812211E-3</v>
      </c>
      <c r="F56" s="287">
        <f>SUM(F57:F57)</f>
        <v>-44000000</v>
      </c>
      <c r="G56" s="288">
        <f t="shared" ref="G56:G62" si="20">+F56/D56</f>
        <v>-1</v>
      </c>
      <c r="H56" s="86"/>
      <c r="I56" s="85"/>
      <c r="J56" s="85"/>
      <c r="K56" s="85"/>
      <c r="L56" s="85"/>
      <c r="M56" s="85"/>
      <c r="N56" s="79"/>
      <c r="O56" s="79"/>
      <c r="P56" s="85"/>
      <c r="Q56" s="85"/>
      <c r="R56" s="85"/>
      <c r="S56" s="85"/>
      <c r="T56" s="85"/>
      <c r="U56" s="85"/>
      <c r="V56" s="85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  <c r="CZ56" s="79"/>
      <c r="DA56" s="79"/>
      <c r="DB56" s="79"/>
      <c r="DC56" s="79"/>
      <c r="DD56" s="79"/>
      <c r="DE56" s="79"/>
      <c r="DF56" s="79"/>
      <c r="DG56" s="79"/>
      <c r="DH56" s="79"/>
      <c r="DI56" s="79"/>
      <c r="DJ56" s="79"/>
      <c r="DK56" s="79"/>
      <c r="DL56" s="79"/>
      <c r="DM56" s="79"/>
      <c r="DN56" s="79"/>
      <c r="DO56" s="79"/>
      <c r="DP56" s="79"/>
      <c r="DQ56" s="79"/>
      <c r="DR56" s="79"/>
      <c r="DS56" s="79"/>
    </row>
    <row r="57" spans="1:123" s="80" customFormat="1" ht="21.95" customHeight="1">
      <c r="A57" s="439" t="s">
        <v>236</v>
      </c>
      <c r="B57" s="3108">
        <v>0</v>
      </c>
      <c r="C57" s="3096">
        <f t="shared" si="18"/>
        <v>0</v>
      </c>
      <c r="D57" s="3108">
        <f>'예산세입(진로)'!Q19</f>
        <v>44000000</v>
      </c>
      <c r="E57" s="3091">
        <f t="shared" si="19"/>
        <v>4.304290232812211E-3</v>
      </c>
      <c r="F57" s="3107">
        <f t="shared" ref="F57" si="21">+B57-D57</f>
        <v>-44000000</v>
      </c>
      <c r="G57" s="3098">
        <f t="shared" si="20"/>
        <v>-1</v>
      </c>
      <c r="H57" s="81"/>
      <c r="I57" s="85"/>
      <c r="J57" s="85"/>
      <c r="K57" s="85"/>
      <c r="L57" s="85"/>
      <c r="M57" s="85"/>
      <c r="N57" s="79"/>
      <c r="O57" s="79"/>
      <c r="P57" s="85"/>
      <c r="Q57" s="85"/>
      <c r="R57" s="85"/>
      <c r="S57" s="85"/>
      <c r="T57" s="85"/>
      <c r="U57" s="85"/>
      <c r="V57" s="85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/>
      <c r="CO57" s="79"/>
      <c r="CP57" s="79"/>
      <c r="CQ57" s="79"/>
      <c r="CR57" s="79"/>
      <c r="CS57" s="79"/>
      <c r="CT57" s="79"/>
      <c r="CU57" s="79"/>
      <c r="CV57" s="79"/>
      <c r="CW57" s="79"/>
      <c r="CX57" s="79"/>
      <c r="CY57" s="79"/>
      <c r="CZ57" s="79"/>
      <c r="DA57" s="79"/>
      <c r="DB57" s="79"/>
      <c r="DC57" s="79"/>
      <c r="DD57" s="79"/>
      <c r="DE57" s="79"/>
      <c r="DF57" s="79"/>
      <c r="DG57" s="79"/>
      <c r="DH57" s="79"/>
      <c r="DI57" s="79"/>
      <c r="DJ57" s="79"/>
      <c r="DK57" s="79"/>
      <c r="DL57" s="79"/>
      <c r="DM57" s="79"/>
      <c r="DN57" s="79"/>
      <c r="DO57" s="79"/>
      <c r="DP57" s="79"/>
      <c r="DQ57" s="79"/>
      <c r="DR57" s="79"/>
      <c r="DS57" s="79"/>
    </row>
    <row r="58" spans="1:123" s="80" customFormat="1" ht="21.95" customHeight="1">
      <c r="A58" s="283" t="s">
        <v>690</v>
      </c>
      <c r="B58" s="284">
        <f>SUM(B59:B59)</f>
        <v>0</v>
      </c>
      <c r="C58" s="285">
        <f t="shared" ref="C58" si="22">+B58/$B$7</f>
        <v>0</v>
      </c>
      <c r="D58" s="284">
        <f>SUM(D59:D59)</f>
        <v>6000000</v>
      </c>
      <c r="E58" s="285">
        <f t="shared" ref="E58:E59" si="23">+D58/$D$7</f>
        <v>5.8694866811075607E-4</v>
      </c>
      <c r="F58" s="287">
        <f>SUM(F59:F59)</f>
        <v>-6000000</v>
      </c>
      <c r="G58" s="288">
        <f t="shared" si="20"/>
        <v>-1</v>
      </c>
      <c r="H58" s="86"/>
      <c r="I58" s="85"/>
      <c r="J58" s="85"/>
      <c r="K58" s="85"/>
      <c r="L58" s="85"/>
      <c r="M58" s="85"/>
      <c r="N58" s="79"/>
      <c r="O58" s="79"/>
      <c r="P58" s="85"/>
      <c r="Q58" s="85"/>
      <c r="R58" s="85"/>
      <c r="S58" s="85"/>
      <c r="T58" s="85"/>
      <c r="U58" s="85"/>
      <c r="V58" s="85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  <c r="CE58" s="79"/>
      <c r="CF58" s="79"/>
      <c r="CG58" s="79"/>
      <c r="CH58" s="79"/>
      <c r="CI58" s="79"/>
      <c r="CJ58" s="79"/>
      <c r="CK58" s="79"/>
      <c r="CL58" s="79"/>
      <c r="CM58" s="79"/>
      <c r="CN58" s="79"/>
      <c r="CO58" s="79"/>
      <c r="CP58" s="79"/>
      <c r="CQ58" s="79"/>
      <c r="CR58" s="79"/>
      <c r="CS58" s="79"/>
      <c r="CT58" s="79"/>
      <c r="CU58" s="79"/>
      <c r="CV58" s="79"/>
      <c r="CW58" s="79"/>
      <c r="CX58" s="79"/>
      <c r="CY58" s="79"/>
      <c r="CZ58" s="79"/>
      <c r="DA58" s="79"/>
      <c r="DB58" s="79"/>
      <c r="DC58" s="79"/>
      <c r="DD58" s="79"/>
      <c r="DE58" s="79"/>
      <c r="DF58" s="79"/>
      <c r="DG58" s="79"/>
      <c r="DH58" s="79"/>
      <c r="DI58" s="79"/>
      <c r="DJ58" s="79"/>
      <c r="DK58" s="79"/>
      <c r="DL58" s="79"/>
      <c r="DM58" s="79"/>
      <c r="DN58" s="79"/>
      <c r="DO58" s="79"/>
      <c r="DP58" s="79"/>
      <c r="DQ58" s="79"/>
      <c r="DR58" s="79"/>
      <c r="DS58" s="79"/>
    </row>
    <row r="59" spans="1:123" s="80" customFormat="1" ht="21.95" customHeight="1">
      <c r="A59" s="447" t="s">
        <v>585</v>
      </c>
      <c r="B59" s="3125">
        <v>0</v>
      </c>
      <c r="C59" s="3126">
        <f t="shared" si="5"/>
        <v>0</v>
      </c>
      <c r="D59" s="3125">
        <f>'예산세출(토당)'!R89</f>
        <v>6000000</v>
      </c>
      <c r="E59" s="3126">
        <f t="shared" si="23"/>
        <v>5.8694866811075607E-4</v>
      </c>
      <c r="F59" s="3127">
        <f t="shared" ref="F59" si="24">+B59-D59</f>
        <v>-6000000</v>
      </c>
      <c r="G59" s="3128">
        <f t="shared" si="20"/>
        <v>-1</v>
      </c>
      <c r="H59" s="81"/>
      <c r="I59" s="85"/>
      <c r="J59" s="85"/>
      <c r="K59" s="85"/>
      <c r="L59" s="85"/>
      <c r="M59" s="85"/>
      <c r="N59" s="79"/>
      <c r="O59" s="79"/>
      <c r="P59" s="85"/>
      <c r="Q59" s="85"/>
      <c r="R59" s="85"/>
      <c r="S59" s="85"/>
      <c r="T59" s="85"/>
      <c r="U59" s="85"/>
      <c r="V59" s="85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  <c r="CD59" s="79"/>
      <c r="CE59" s="79"/>
      <c r="CF59" s="79"/>
      <c r="CG59" s="79"/>
      <c r="CH59" s="79"/>
      <c r="CI59" s="79"/>
      <c r="CJ59" s="79"/>
      <c r="CK59" s="79"/>
      <c r="CL59" s="79"/>
      <c r="CM59" s="79"/>
      <c r="CN59" s="79"/>
      <c r="CO59" s="79"/>
      <c r="CP59" s="79"/>
      <c r="CQ59" s="79"/>
      <c r="CR59" s="79"/>
      <c r="CS59" s="79"/>
      <c r="CT59" s="79"/>
      <c r="CU59" s="79"/>
      <c r="CV59" s="79"/>
      <c r="CW59" s="79"/>
      <c r="CX59" s="79"/>
      <c r="CY59" s="79"/>
      <c r="CZ59" s="79"/>
      <c r="DA59" s="79"/>
      <c r="DB59" s="79"/>
      <c r="DC59" s="79"/>
      <c r="DD59" s="79"/>
      <c r="DE59" s="79"/>
      <c r="DF59" s="79"/>
      <c r="DG59" s="79"/>
      <c r="DH59" s="79"/>
      <c r="DI59" s="79"/>
      <c r="DJ59" s="79"/>
      <c r="DK59" s="79"/>
      <c r="DL59" s="79"/>
      <c r="DM59" s="79"/>
      <c r="DN59" s="79"/>
      <c r="DO59" s="79"/>
      <c r="DP59" s="79"/>
      <c r="DQ59" s="79"/>
      <c r="DR59" s="79"/>
      <c r="DS59" s="79"/>
    </row>
    <row r="60" spans="1:123" s="80" customFormat="1" ht="21.95" customHeight="1">
      <c r="A60" s="283" t="s">
        <v>697</v>
      </c>
      <c r="B60" s="284">
        <f>SUM(B61:B68)</f>
        <v>16900000</v>
      </c>
      <c r="C60" s="285">
        <f t="shared" si="5"/>
        <v>1.9398915979392153E-3</v>
      </c>
      <c r="D60" s="284">
        <f>SUM(D61:D68)</f>
        <v>378802000</v>
      </c>
      <c r="E60" s="285">
        <f t="shared" si="11"/>
        <v>3.7056221562948438E-2</v>
      </c>
      <c r="F60" s="287">
        <f>SUM(F61:F68)</f>
        <v>-361902000</v>
      </c>
      <c r="G60" s="288">
        <f t="shared" si="20"/>
        <v>-0.95538566322247509</v>
      </c>
      <c r="H60" s="86"/>
      <c r="I60" s="85"/>
      <c r="J60" s="85"/>
      <c r="K60" s="85"/>
      <c r="L60" s="85"/>
      <c r="M60" s="85"/>
      <c r="N60" s="79"/>
      <c r="O60" s="79"/>
      <c r="P60" s="85"/>
      <c r="Q60" s="85"/>
      <c r="R60" s="85"/>
      <c r="S60" s="85"/>
      <c r="T60" s="85"/>
      <c r="U60" s="85"/>
      <c r="V60" s="85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  <c r="BY60" s="79"/>
      <c r="BZ60" s="79"/>
      <c r="CA60" s="79"/>
      <c r="CB60" s="79"/>
      <c r="CC60" s="79"/>
      <c r="CD60" s="79"/>
      <c r="CE60" s="79"/>
      <c r="CF60" s="79"/>
      <c r="CG60" s="79"/>
      <c r="CH60" s="79"/>
      <c r="CI60" s="79"/>
      <c r="CJ60" s="79"/>
      <c r="CK60" s="79"/>
      <c r="CL60" s="79"/>
      <c r="CM60" s="79"/>
      <c r="CN60" s="79"/>
      <c r="CO60" s="79"/>
      <c r="CP60" s="79"/>
      <c r="CQ60" s="79"/>
      <c r="CR60" s="79"/>
      <c r="CS60" s="79"/>
      <c r="CT60" s="79"/>
      <c r="CU60" s="79"/>
      <c r="CV60" s="79"/>
      <c r="CW60" s="79"/>
      <c r="CX60" s="79"/>
      <c r="CY60" s="79"/>
      <c r="CZ60" s="79"/>
      <c r="DA60" s="79"/>
      <c r="DB60" s="79"/>
      <c r="DC60" s="79"/>
      <c r="DD60" s="79"/>
      <c r="DE60" s="79"/>
      <c r="DF60" s="79"/>
      <c r="DG60" s="79"/>
      <c r="DH60" s="79"/>
      <c r="DI60" s="79"/>
      <c r="DJ60" s="79"/>
      <c r="DK60" s="79"/>
      <c r="DL60" s="79"/>
      <c r="DM60" s="79"/>
      <c r="DN60" s="79"/>
      <c r="DO60" s="79"/>
      <c r="DP60" s="79"/>
      <c r="DQ60" s="79"/>
      <c r="DR60" s="79"/>
      <c r="DS60" s="79"/>
    </row>
    <row r="61" spans="1:123" s="80" customFormat="1" ht="21.95" customHeight="1">
      <c r="A61" s="446" t="s">
        <v>601</v>
      </c>
      <c r="B61" s="3155">
        <f>'예산세출(사무국)'!Q195</f>
        <v>6200000</v>
      </c>
      <c r="C61" s="3122">
        <f t="shared" si="5"/>
        <v>7.1167620752799615E-4</v>
      </c>
      <c r="D61" s="3121">
        <f>'예산세출(사무국)'!R195</f>
        <v>39022000</v>
      </c>
      <c r="E61" s="3120">
        <f t="shared" si="11"/>
        <v>3.8173184878363205E-3</v>
      </c>
      <c r="F61" s="3123">
        <f>+B61-D61</f>
        <v>-32822000</v>
      </c>
      <c r="G61" s="3124">
        <f t="shared" si="20"/>
        <v>-0.84111526831018402</v>
      </c>
      <c r="H61" s="81"/>
      <c r="I61" s="85"/>
      <c r="J61" s="85"/>
      <c r="K61" s="85"/>
      <c r="L61" s="85"/>
      <c r="M61" s="85"/>
      <c r="N61" s="79"/>
      <c r="O61" s="79"/>
      <c r="P61" s="85"/>
      <c r="Q61" s="85"/>
      <c r="R61" s="85"/>
      <c r="S61" s="85"/>
      <c r="T61" s="85"/>
      <c r="U61" s="85"/>
      <c r="V61" s="85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79"/>
      <c r="BP61" s="79"/>
      <c r="BQ61" s="79"/>
      <c r="BR61" s="79"/>
      <c r="BS61" s="79"/>
      <c r="BT61" s="79"/>
      <c r="BU61" s="79"/>
      <c r="BV61" s="79"/>
      <c r="BW61" s="79"/>
      <c r="BX61" s="79"/>
      <c r="BY61" s="79"/>
      <c r="BZ61" s="79"/>
      <c r="CA61" s="79"/>
      <c r="CB61" s="79"/>
      <c r="CC61" s="79"/>
      <c r="CD61" s="79"/>
      <c r="CE61" s="79"/>
      <c r="CF61" s="79"/>
      <c r="CG61" s="79"/>
      <c r="CH61" s="79"/>
      <c r="CI61" s="79"/>
      <c r="CJ61" s="79"/>
      <c r="CK61" s="79"/>
      <c r="CL61" s="79"/>
      <c r="CM61" s="79"/>
      <c r="CN61" s="79"/>
      <c r="CO61" s="79"/>
      <c r="CP61" s="79"/>
      <c r="CQ61" s="79"/>
      <c r="CR61" s="79"/>
      <c r="CS61" s="79"/>
      <c r="CT61" s="79"/>
      <c r="CU61" s="79"/>
      <c r="CV61" s="79"/>
      <c r="CW61" s="79"/>
      <c r="CX61" s="79"/>
      <c r="CY61" s="79"/>
      <c r="CZ61" s="79"/>
      <c r="DA61" s="79"/>
      <c r="DB61" s="79"/>
      <c r="DC61" s="79"/>
      <c r="DD61" s="79"/>
      <c r="DE61" s="79"/>
      <c r="DF61" s="79"/>
      <c r="DG61" s="79"/>
      <c r="DH61" s="79"/>
      <c r="DI61" s="79"/>
      <c r="DJ61" s="79"/>
      <c r="DK61" s="79"/>
      <c r="DL61" s="79"/>
      <c r="DM61" s="79"/>
      <c r="DN61" s="79"/>
      <c r="DO61" s="79"/>
      <c r="DP61" s="79"/>
      <c r="DQ61" s="79"/>
      <c r="DR61" s="79"/>
      <c r="DS61" s="79"/>
    </row>
    <row r="62" spans="1:123" s="80" customFormat="1" ht="21.95" customHeight="1">
      <c r="A62" s="439" t="s">
        <v>591</v>
      </c>
      <c r="B62" s="3108">
        <f>'예산세출(마두)'!Q116</f>
        <v>2100000</v>
      </c>
      <c r="C62" s="3096">
        <f t="shared" si="5"/>
        <v>2.410516186788374E-4</v>
      </c>
      <c r="D62" s="3108">
        <f>'예산세출(마두)'!R116</f>
        <v>3000000</v>
      </c>
      <c r="E62" s="3096">
        <f t="shared" si="11"/>
        <v>2.9347433405537803E-4</v>
      </c>
      <c r="F62" s="3107">
        <f>+B62-D62</f>
        <v>-900000</v>
      </c>
      <c r="G62" s="3098">
        <f t="shared" si="20"/>
        <v>-0.3</v>
      </c>
      <c r="H62" s="81"/>
      <c r="I62" s="85"/>
      <c r="J62" s="85"/>
      <c r="K62" s="85"/>
      <c r="L62" s="85"/>
      <c r="M62" s="85"/>
      <c r="N62" s="79"/>
      <c r="O62" s="79"/>
      <c r="P62" s="85"/>
      <c r="Q62" s="85"/>
      <c r="R62" s="85"/>
      <c r="S62" s="85"/>
      <c r="T62" s="85"/>
      <c r="U62" s="85"/>
      <c r="V62" s="85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79"/>
      <c r="BG62" s="79"/>
      <c r="BH62" s="79"/>
      <c r="BI62" s="79"/>
      <c r="BJ62" s="79"/>
      <c r="BK62" s="79"/>
      <c r="BL62" s="79"/>
      <c r="BM62" s="79"/>
      <c r="BN62" s="79"/>
      <c r="BO62" s="79"/>
      <c r="BP62" s="79"/>
      <c r="BQ62" s="79"/>
      <c r="BR62" s="79"/>
      <c r="BS62" s="79"/>
      <c r="BT62" s="79"/>
      <c r="BU62" s="79"/>
      <c r="BV62" s="79"/>
      <c r="BW62" s="79"/>
      <c r="BX62" s="79"/>
      <c r="BY62" s="79"/>
      <c r="BZ62" s="79"/>
      <c r="CA62" s="79"/>
      <c r="CB62" s="79"/>
      <c r="CC62" s="79"/>
      <c r="CD62" s="79"/>
      <c r="CE62" s="79"/>
      <c r="CF62" s="79"/>
      <c r="CG62" s="79"/>
      <c r="CH62" s="79"/>
      <c r="CI62" s="79"/>
      <c r="CJ62" s="79"/>
      <c r="CK62" s="79"/>
      <c r="CL62" s="79"/>
      <c r="CM62" s="79"/>
      <c r="CN62" s="79"/>
      <c r="CO62" s="79"/>
      <c r="CP62" s="79"/>
      <c r="CQ62" s="79"/>
      <c r="CR62" s="79"/>
      <c r="CS62" s="79"/>
      <c r="CT62" s="79"/>
      <c r="CU62" s="79"/>
      <c r="CV62" s="79"/>
      <c r="CW62" s="79"/>
      <c r="CX62" s="79"/>
      <c r="CY62" s="79"/>
      <c r="CZ62" s="79"/>
      <c r="DA62" s="79"/>
      <c r="DB62" s="79"/>
      <c r="DC62" s="79"/>
      <c r="DD62" s="79"/>
      <c r="DE62" s="79"/>
      <c r="DF62" s="79"/>
      <c r="DG62" s="79"/>
      <c r="DH62" s="79"/>
      <c r="DI62" s="79"/>
      <c r="DJ62" s="79"/>
      <c r="DK62" s="79"/>
      <c r="DL62" s="79"/>
      <c r="DM62" s="79"/>
      <c r="DN62" s="79"/>
      <c r="DO62" s="79"/>
      <c r="DP62" s="79"/>
      <c r="DQ62" s="79"/>
      <c r="DR62" s="79"/>
      <c r="DS62" s="79"/>
    </row>
    <row r="63" spans="1:123" s="80" customFormat="1" ht="21.95" customHeight="1">
      <c r="A63" s="439" t="s">
        <v>602</v>
      </c>
      <c r="B63" s="3108">
        <f>'예산세출(진로)'!Q73</f>
        <v>1700000</v>
      </c>
      <c r="C63" s="3096">
        <f t="shared" si="5"/>
        <v>1.9513702464477313E-4</v>
      </c>
      <c r="D63" s="3108">
        <f>'예산세출(진로)'!R73</f>
        <v>5100000</v>
      </c>
      <c r="E63" s="3096">
        <f t="shared" si="11"/>
        <v>4.9890636789414258E-4</v>
      </c>
      <c r="F63" s="3107">
        <f>+B63-D63</f>
        <v>-3400000</v>
      </c>
      <c r="G63" s="3098">
        <f t="shared" ref="G63:G67" si="25">+F63/D63</f>
        <v>-0.66666666666666663</v>
      </c>
      <c r="H63" s="81"/>
      <c r="I63" s="85"/>
      <c r="J63" s="85"/>
      <c r="K63" s="85"/>
      <c r="L63" s="85"/>
      <c r="M63" s="85"/>
      <c r="N63" s="79"/>
      <c r="O63" s="79"/>
      <c r="P63" s="85"/>
      <c r="Q63" s="85"/>
      <c r="R63" s="85"/>
      <c r="S63" s="85"/>
      <c r="T63" s="85"/>
      <c r="U63" s="85"/>
      <c r="V63" s="85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  <c r="AW63" s="79"/>
      <c r="AX63" s="79"/>
      <c r="AY63" s="79"/>
      <c r="AZ63" s="79"/>
      <c r="BA63" s="79"/>
      <c r="BB63" s="79"/>
      <c r="BC63" s="79"/>
      <c r="BD63" s="79"/>
      <c r="BE63" s="79"/>
      <c r="BF63" s="79"/>
      <c r="BG63" s="79"/>
      <c r="BH63" s="79"/>
      <c r="BI63" s="79"/>
      <c r="BJ63" s="79"/>
      <c r="BK63" s="79"/>
      <c r="BL63" s="79"/>
      <c r="BM63" s="79"/>
      <c r="BN63" s="79"/>
      <c r="BO63" s="79"/>
      <c r="BP63" s="79"/>
      <c r="BQ63" s="79"/>
      <c r="BR63" s="79"/>
      <c r="BS63" s="79"/>
      <c r="BT63" s="79"/>
      <c r="BU63" s="79"/>
      <c r="BV63" s="79"/>
      <c r="BW63" s="79"/>
      <c r="BX63" s="79"/>
      <c r="BY63" s="79"/>
      <c r="BZ63" s="79"/>
      <c r="CA63" s="79"/>
      <c r="CB63" s="79"/>
      <c r="CC63" s="79"/>
      <c r="CD63" s="79"/>
      <c r="CE63" s="79"/>
      <c r="CF63" s="79"/>
      <c r="CG63" s="79"/>
      <c r="CH63" s="79"/>
      <c r="CI63" s="79"/>
      <c r="CJ63" s="79"/>
      <c r="CK63" s="79"/>
      <c r="CL63" s="79"/>
      <c r="CM63" s="79"/>
      <c r="CN63" s="79"/>
      <c r="CO63" s="79"/>
      <c r="CP63" s="79"/>
      <c r="CQ63" s="79"/>
      <c r="CR63" s="79"/>
      <c r="CS63" s="79"/>
      <c r="CT63" s="79"/>
      <c r="CU63" s="79"/>
      <c r="CV63" s="79"/>
      <c r="CW63" s="79"/>
      <c r="CX63" s="79"/>
      <c r="CY63" s="79"/>
      <c r="CZ63" s="79"/>
      <c r="DA63" s="79"/>
      <c r="DB63" s="79"/>
      <c r="DC63" s="79"/>
      <c r="DD63" s="79"/>
      <c r="DE63" s="79"/>
      <c r="DF63" s="79"/>
      <c r="DG63" s="79"/>
      <c r="DH63" s="79"/>
      <c r="DI63" s="79"/>
      <c r="DJ63" s="79"/>
      <c r="DK63" s="79"/>
      <c r="DL63" s="79"/>
      <c r="DM63" s="79"/>
      <c r="DN63" s="79"/>
      <c r="DO63" s="79"/>
      <c r="DP63" s="79"/>
      <c r="DQ63" s="79"/>
      <c r="DR63" s="79"/>
      <c r="DS63" s="79"/>
    </row>
    <row r="64" spans="1:123" s="80" customFormat="1" ht="21.95" customHeight="1">
      <c r="A64" s="437" t="s">
        <v>592</v>
      </c>
      <c r="B64" s="3106">
        <f>'예산세출(성사)'!Q95</f>
        <v>0</v>
      </c>
      <c r="C64" s="3091">
        <f t="shared" si="5"/>
        <v>0</v>
      </c>
      <c r="D64" s="3106">
        <f>'예산세출(성사)'!R95</f>
        <v>7000000</v>
      </c>
      <c r="E64" s="3091">
        <f t="shared" si="11"/>
        <v>6.8477344612921534E-4</v>
      </c>
      <c r="F64" s="3118">
        <f>+B64-D64</f>
        <v>-7000000</v>
      </c>
      <c r="G64" s="3093">
        <f t="shared" si="25"/>
        <v>-1</v>
      </c>
      <c r="H64" s="81"/>
      <c r="I64" s="85"/>
      <c r="J64" s="85"/>
      <c r="K64" s="85"/>
      <c r="L64" s="85"/>
      <c r="M64" s="85"/>
      <c r="N64" s="79"/>
      <c r="O64" s="79"/>
      <c r="P64" s="85"/>
      <c r="Q64" s="85"/>
      <c r="R64" s="85"/>
      <c r="S64" s="85"/>
      <c r="T64" s="85"/>
      <c r="U64" s="85"/>
      <c r="V64" s="85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79"/>
      <c r="BD64" s="79"/>
      <c r="BE64" s="79"/>
      <c r="BF64" s="79"/>
      <c r="BG64" s="79"/>
      <c r="BH64" s="79"/>
      <c r="BI64" s="79"/>
      <c r="BJ64" s="79"/>
      <c r="BK64" s="79"/>
      <c r="BL64" s="79"/>
      <c r="BM64" s="79"/>
      <c r="BN64" s="79"/>
      <c r="BO64" s="79"/>
      <c r="BP64" s="79"/>
      <c r="BQ64" s="79"/>
      <c r="BR64" s="79"/>
      <c r="BS64" s="79"/>
      <c r="BT64" s="79"/>
      <c r="BU64" s="79"/>
      <c r="BV64" s="79"/>
      <c r="BW64" s="79"/>
      <c r="BX64" s="79"/>
      <c r="BY64" s="79"/>
      <c r="BZ64" s="79"/>
      <c r="CA64" s="79"/>
      <c r="CB64" s="79"/>
      <c r="CC64" s="79"/>
      <c r="CD64" s="79"/>
      <c r="CE64" s="79"/>
      <c r="CF64" s="79"/>
      <c r="CG64" s="79"/>
      <c r="CH64" s="79"/>
      <c r="CI64" s="79"/>
      <c r="CJ64" s="79"/>
      <c r="CK64" s="79"/>
      <c r="CL64" s="79"/>
      <c r="CM64" s="79"/>
      <c r="CN64" s="79"/>
      <c r="CO64" s="79"/>
      <c r="CP64" s="79"/>
      <c r="CQ64" s="79"/>
      <c r="CR64" s="79"/>
      <c r="CS64" s="79"/>
      <c r="CT64" s="79"/>
      <c r="CU64" s="79"/>
      <c r="CV64" s="79"/>
      <c r="CW64" s="79"/>
      <c r="CX64" s="79"/>
      <c r="CY64" s="79"/>
      <c r="CZ64" s="79"/>
      <c r="DA64" s="79"/>
      <c r="DB64" s="79"/>
      <c r="DC64" s="79"/>
      <c r="DD64" s="79"/>
      <c r="DE64" s="79"/>
      <c r="DF64" s="79"/>
      <c r="DG64" s="79"/>
      <c r="DH64" s="79"/>
      <c r="DI64" s="79"/>
      <c r="DJ64" s="79"/>
      <c r="DK64" s="79"/>
      <c r="DL64" s="79"/>
      <c r="DM64" s="79"/>
      <c r="DN64" s="79"/>
      <c r="DO64" s="79"/>
      <c r="DP64" s="79"/>
      <c r="DQ64" s="79"/>
      <c r="DR64" s="79"/>
      <c r="DS64" s="79"/>
    </row>
    <row r="65" spans="1:123" s="80" customFormat="1" ht="21.95" customHeight="1">
      <c r="A65" s="439" t="s">
        <v>583</v>
      </c>
      <c r="B65" s="3108">
        <f>'예산세출(일산서구)'!Q99</f>
        <v>3000000</v>
      </c>
      <c r="C65" s="3096">
        <f t="shared" ref="C65" si="26">+B65/$B$7</f>
        <v>3.44359455255482E-4</v>
      </c>
      <c r="D65" s="3108">
        <f>'예산세출(일산서구)'!R99</f>
        <v>320880000</v>
      </c>
      <c r="E65" s="3096">
        <f t="shared" ref="E65" si="27">+D65/$D$7</f>
        <v>3.1390014770563232E-2</v>
      </c>
      <c r="F65" s="3107">
        <f t="shared" ref="F65" si="28">+B65-D65</f>
        <v>-317880000</v>
      </c>
      <c r="G65" s="3098">
        <f t="shared" si="25"/>
        <v>-0.99065071054599851</v>
      </c>
      <c r="H65" s="81"/>
      <c r="I65" s="85"/>
      <c r="J65" s="85"/>
      <c r="K65" s="85"/>
      <c r="L65" s="85"/>
      <c r="M65" s="85"/>
      <c r="N65" s="79"/>
      <c r="O65" s="79"/>
      <c r="P65" s="85"/>
      <c r="Q65" s="85"/>
      <c r="R65" s="85"/>
      <c r="S65" s="85"/>
      <c r="T65" s="85"/>
      <c r="U65" s="85"/>
      <c r="V65" s="85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/>
      <c r="BF65" s="79"/>
      <c r="BG65" s="79"/>
      <c r="BH65" s="79"/>
      <c r="BI65" s="79"/>
      <c r="BJ65" s="79"/>
      <c r="BK65" s="79"/>
      <c r="BL65" s="79"/>
      <c r="BM65" s="79"/>
      <c r="BN65" s="79"/>
      <c r="BO65" s="79"/>
      <c r="BP65" s="79"/>
      <c r="BQ65" s="79"/>
      <c r="BR65" s="79"/>
      <c r="BS65" s="79"/>
      <c r="BT65" s="79"/>
      <c r="BU65" s="79"/>
      <c r="BV65" s="79"/>
      <c r="BW65" s="79"/>
      <c r="BX65" s="79"/>
      <c r="BY65" s="79"/>
      <c r="BZ65" s="79"/>
      <c r="CA65" s="79"/>
      <c r="CB65" s="79"/>
      <c r="CC65" s="79"/>
      <c r="CD65" s="79"/>
      <c r="CE65" s="79"/>
      <c r="CF65" s="79"/>
      <c r="CG65" s="79"/>
      <c r="CH65" s="79"/>
      <c r="CI65" s="79"/>
      <c r="CJ65" s="79"/>
      <c r="CK65" s="79"/>
      <c r="CL65" s="79"/>
      <c r="CM65" s="79"/>
      <c r="CN65" s="79"/>
      <c r="CO65" s="79"/>
      <c r="CP65" s="79"/>
      <c r="CQ65" s="79"/>
      <c r="CR65" s="79"/>
      <c r="CS65" s="79"/>
      <c r="CT65" s="79"/>
      <c r="CU65" s="79"/>
      <c r="CV65" s="79"/>
      <c r="CW65" s="79"/>
      <c r="CX65" s="79"/>
      <c r="CY65" s="79"/>
      <c r="CZ65" s="79"/>
      <c r="DA65" s="79"/>
      <c r="DB65" s="79"/>
      <c r="DC65" s="79"/>
      <c r="DD65" s="79"/>
      <c r="DE65" s="79"/>
      <c r="DF65" s="79"/>
      <c r="DG65" s="79"/>
      <c r="DH65" s="79"/>
      <c r="DI65" s="79"/>
      <c r="DJ65" s="79"/>
      <c r="DK65" s="79"/>
      <c r="DL65" s="79"/>
      <c r="DM65" s="79"/>
      <c r="DN65" s="79"/>
      <c r="DO65" s="79"/>
      <c r="DP65" s="79"/>
      <c r="DQ65" s="79"/>
      <c r="DR65" s="79"/>
      <c r="DS65" s="79"/>
    </row>
    <row r="66" spans="1:123" s="80" customFormat="1" ht="21.95" customHeight="1">
      <c r="A66" s="437" t="s">
        <v>594</v>
      </c>
      <c r="B66" s="3106">
        <f>'예산세출(상담)'!Q128</f>
        <v>1200000</v>
      </c>
      <c r="C66" s="3091">
        <f t="shared" ref="C66" si="29">+B66/$B$7</f>
        <v>1.3774378210219281E-4</v>
      </c>
      <c r="D66" s="3106">
        <v>0</v>
      </c>
      <c r="E66" s="3091">
        <f t="shared" ref="E66" si="30">+D66/$D$7</f>
        <v>0</v>
      </c>
      <c r="F66" s="3118">
        <f t="shared" ref="F66" si="31">+B66-D66</f>
        <v>1200000</v>
      </c>
      <c r="G66" s="3093"/>
      <c r="H66" s="81"/>
      <c r="I66" s="85"/>
      <c r="J66" s="85"/>
      <c r="K66" s="85"/>
      <c r="L66" s="85"/>
      <c r="M66" s="85"/>
      <c r="N66" s="79"/>
      <c r="O66" s="79"/>
      <c r="P66" s="85"/>
      <c r="Q66" s="85"/>
      <c r="R66" s="85"/>
      <c r="S66" s="85"/>
      <c r="T66" s="85"/>
      <c r="U66" s="85"/>
      <c r="V66" s="85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79"/>
      <c r="BD66" s="79"/>
      <c r="BE66" s="79"/>
      <c r="BF66" s="79"/>
      <c r="BG66" s="79"/>
      <c r="BH66" s="79"/>
      <c r="BI66" s="79"/>
      <c r="BJ66" s="79"/>
      <c r="BK66" s="79"/>
      <c r="BL66" s="79"/>
      <c r="BM66" s="79"/>
      <c r="BN66" s="79"/>
      <c r="BO66" s="79"/>
      <c r="BP66" s="79"/>
      <c r="BQ66" s="79"/>
      <c r="BR66" s="79"/>
      <c r="BS66" s="79"/>
      <c r="BT66" s="79"/>
      <c r="BU66" s="79"/>
      <c r="BV66" s="79"/>
      <c r="BW66" s="79"/>
      <c r="BX66" s="79"/>
      <c r="BY66" s="79"/>
      <c r="BZ66" s="79"/>
      <c r="CA66" s="79"/>
      <c r="CB66" s="79"/>
      <c r="CC66" s="79"/>
      <c r="CD66" s="79"/>
      <c r="CE66" s="79"/>
      <c r="CF66" s="79"/>
      <c r="CG66" s="79"/>
      <c r="CH66" s="79"/>
      <c r="CI66" s="79"/>
      <c r="CJ66" s="79"/>
      <c r="CK66" s="79"/>
      <c r="CL66" s="79"/>
      <c r="CM66" s="79"/>
      <c r="CN66" s="79"/>
      <c r="CO66" s="79"/>
      <c r="CP66" s="79"/>
      <c r="CQ66" s="79"/>
      <c r="CR66" s="79"/>
      <c r="CS66" s="79"/>
      <c r="CT66" s="79"/>
      <c r="CU66" s="79"/>
      <c r="CV66" s="79"/>
      <c r="CW66" s="79"/>
      <c r="CX66" s="79"/>
      <c r="CY66" s="79"/>
      <c r="CZ66" s="79"/>
      <c r="DA66" s="79"/>
      <c r="DB66" s="79"/>
      <c r="DC66" s="79"/>
      <c r="DD66" s="79"/>
      <c r="DE66" s="79"/>
      <c r="DF66" s="79"/>
      <c r="DG66" s="79"/>
      <c r="DH66" s="79"/>
      <c r="DI66" s="79"/>
      <c r="DJ66" s="79"/>
      <c r="DK66" s="79"/>
      <c r="DL66" s="79"/>
      <c r="DM66" s="79"/>
      <c r="DN66" s="79"/>
      <c r="DO66" s="79"/>
      <c r="DP66" s="79"/>
      <c r="DQ66" s="79"/>
      <c r="DR66" s="79"/>
      <c r="DS66" s="79"/>
    </row>
    <row r="67" spans="1:123" s="80" customFormat="1" ht="21.95" customHeight="1">
      <c r="A67" s="439" t="s">
        <v>587</v>
      </c>
      <c r="B67" s="3108">
        <f>'예산세출(화정)'!Q79</f>
        <v>1500000</v>
      </c>
      <c r="C67" s="3096">
        <f t="shared" si="5"/>
        <v>1.72179727627741E-4</v>
      </c>
      <c r="D67" s="3108">
        <f>'예산세출(화정)'!R79</f>
        <v>3800000</v>
      </c>
      <c r="E67" s="3096">
        <f t="shared" si="11"/>
        <v>3.7173415647014552E-4</v>
      </c>
      <c r="F67" s="3107">
        <f>+B67-D67</f>
        <v>-2300000</v>
      </c>
      <c r="G67" s="3098">
        <f t="shared" si="25"/>
        <v>-0.60526315789473684</v>
      </c>
      <c r="H67" s="81"/>
      <c r="I67" s="85"/>
      <c r="J67" s="85"/>
      <c r="K67" s="85"/>
      <c r="L67" s="85"/>
      <c r="M67" s="85"/>
      <c r="N67" s="79"/>
      <c r="O67" s="79"/>
      <c r="P67" s="85"/>
      <c r="Q67" s="85"/>
      <c r="R67" s="85"/>
      <c r="S67" s="85"/>
      <c r="T67" s="85"/>
      <c r="U67" s="85"/>
      <c r="V67" s="85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/>
      <c r="BF67" s="79"/>
      <c r="BG67" s="79"/>
      <c r="BH67" s="79"/>
      <c r="BI67" s="79"/>
      <c r="BJ67" s="79"/>
      <c r="BK67" s="79"/>
      <c r="BL67" s="79"/>
      <c r="BM67" s="79"/>
      <c r="BN67" s="79"/>
      <c r="BO67" s="79"/>
      <c r="BP67" s="79"/>
      <c r="BQ67" s="79"/>
      <c r="BR67" s="79"/>
      <c r="BS67" s="79"/>
      <c r="BT67" s="79"/>
      <c r="BU67" s="79"/>
      <c r="BV67" s="79"/>
      <c r="BW67" s="79"/>
      <c r="BX67" s="79"/>
      <c r="BY67" s="79"/>
      <c r="BZ67" s="79"/>
      <c r="CA67" s="79"/>
      <c r="CB67" s="79"/>
      <c r="CC67" s="79"/>
      <c r="CD67" s="79"/>
      <c r="CE67" s="79"/>
      <c r="CF67" s="79"/>
      <c r="CG67" s="79"/>
      <c r="CH67" s="79"/>
      <c r="CI67" s="79"/>
      <c r="CJ67" s="79"/>
      <c r="CK67" s="79"/>
      <c r="CL67" s="79"/>
      <c r="CM67" s="79"/>
      <c r="CN67" s="79"/>
      <c r="CO67" s="79"/>
      <c r="CP67" s="79"/>
      <c r="CQ67" s="79"/>
      <c r="CR67" s="79"/>
      <c r="CS67" s="79"/>
      <c r="CT67" s="79"/>
      <c r="CU67" s="79"/>
      <c r="CV67" s="79"/>
      <c r="CW67" s="79"/>
      <c r="CX67" s="79"/>
      <c r="CY67" s="79"/>
      <c r="CZ67" s="79"/>
      <c r="DA67" s="79"/>
      <c r="DB67" s="79"/>
      <c r="DC67" s="79"/>
      <c r="DD67" s="79"/>
      <c r="DE67" s="79"/>
      <c r="DF67" s="79"/>
      <c r="DG67" s="79"/>
      <c r="DH67" s="79"/>
      <c r="DI67" s="79"/>
      <c r="DJ67" s="79"/>
      <c r="DK67" s="79"/>
      <c r="DL67" s="79"/>
      <c r="DM67" s="79"/>
      <c r="DN67" s="79"/>
      <c r="DO67" s="79"/>
      <c r="DP67" s="79"/>
      <c r="DQ67" s="79"/>
      <c r="DR67" s="79"/>
      <c r="DS67" s="79"/>
    </row>
    <row r="68" spans="1:123" s="80" customFormat="1" ht="21.95" customHeight="1">
      <c r="A68" s="446" t="s">
        <v>531</v>
      </c>
      <c r="B68" s="3108">
        <f>'예산세출(능곡)'!Q63</f>
        <v>1200000</v>
      </c>
      <c r="C68" s="3096">
        <f t="shared" ref="C68" si="32">+B68/$B$7</f>
        <v>1.3774378210219281E-4</v>
      </c>
      <c r="D68" s="3108">
        <v>0</v>
      </c>
      <c r="E68" s="3096">
        <f t="shared" ref="E68" si="33">+D68/$D$7</f>
        <v>0</v>
      </c>
      <c r="F68" s="3107">
        <f>+B68-D68</f>
        <v>1200000</v>
      </c>
      <c r="G68" s="3098"/>
      <c r="H68" s="81"/>
      <c r="I68" s="85"/>
      <c r="J68" s="85"/>
      <c r="K68" s="85"/>
      <c r="L68" s="85"/>
      <c r="M68" s="85"/>
      <c r="N68" s="79"/>
      <c r="O68" s="79"/>
      <c r="P68" s="85"/>
      <c r="Q68" s="85"/>
      <c r="R68" s="85"/>
      <c r="S68" s="85"/>
      <c r="T68" s="85"/>
      <c r="U68" s="85"/>
      <c r="V68" s="85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9"/>
      <c r="BG68" s="79"/>
      <c r="BH68" s="79"/>
      <c r="BI68" s="79"/>
      <c r="BJ68" s="79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  <c r="CE68" s="79"/>
      <c r="CF68" s="79"/>
      <c r="CG68" s="79"/>
      <c r="CH68" s="79"/>
      <c r="CI68" s="79"/>
      <c r="CJ68" s="79"/>
      <c r="CK68" s="79"/>
      <c r="CL68" s="79"/>
      <c r="CM68" s="79"/>
      <c r="CN68" s="79"/>
      <c r="CO68" s="79"/>
      <c r="CP68" s="79"/>
      <c r="CQ68" s="79"/>
      <c r="CR68" s="79"/>
      <c r="CS68" s="79"/>
      <c r="CT68" s="79"/>
      <c r="CU68" s="79"/>
      <c r="CV68" s="79"/>
      <c r="CW68" s="79"/>
      <c r="CX68" s="79"/>
      <c r="CY68" s="79"/>
      <c r="CZ68" s="79"/>
      <c r="DA68" s="79"/>
      <c r="DB68" s="79"/>
      <c r="DC68" s="79"/>
      <c r="DD68" s="79"/>
      <c r="DE68" s="79"/>
      <c r="DF68" s="79"/>
      <c r="DG68" s="79"/>
      <c r="DH68" s="79"/>
      <c r="DI68" s="79"/>
      <c r="DJ68" s="79"/>
      <c r="DK68" s="79"/>
      <c r="DL68" s="79"/>
      <c r="DM68" s="79"/>
      <c r="DN68" s="79"/>
      <c r="DO68" s="79"/>
      <c r="DP68" s="79"/>
      <c r="DQ68" s="79"/>
      <c r="DR68" s="79"/>
      <c r="DS68" s="79"/>
    </row>
    <row r="69" spans="1:123" s="80" customFormat="1" ht="21.95" customHeight="1">
      <c r="A69" s="283" t="s">
        <v>696</v>
      </c>
      <c r="B69" s="284">
        <f>SUM(B70:B70)</f>
        <v>91448000</v>
      </c>
      <c r="C69" s="285">
        <f t="shared" si="5"/>
        <v>1.0496994488067773E-2</v>
      </c>
      <c r="D69" s="284">
        <f>SUM(D70:D70)</f>
        <v>91448000</v>
      </c>
      <c r="E69" s="285">
        <f t="shared" si="11"/>
        <v>8.9458803002320699E-3</v>
      </c>
      <c r="F69" s="287">
        <f>B69-D69</f>
        <v>0</v>
      </c>
      <c r="G69" s="288">
        <f t="shared" ref="G69:G74" si="34">+F69/D69</f>
        <v>0</v>
      </c>
      <c r="H69" s="86"/>
      <c r="I69" s="85"/>
      <c r="J69" s="85"/>
      <c r="K69" s="85"/>
      <c r="L69" s="85"/>
      <c r="M69" s="85"/>
      <c r="N69" s="79"/>
      <c r="O69" s="79"/>
      <c r="P69" s="85"/>
      <c r="Q69" s="85"/>
      <c r="R69" s="85"/>
      <c r="S69" s="85"/>
      <c r="T69" s="85"/>
      <c r="U69" s="85"/>
      <c r="V69" s="85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/>
      <c r="BF69" s="79"/>
      <c r="BG69" s="79"/>
      <c r="BH69" s="79"/>
      <c r="BI69" s="79"/>
      <c r="BJ69" s="79"/>
      <c r="BK69" s="79"/>
      <c r="BL69" s="79"/>
      <c r="BM69" s="79"/>
      <c r="BN69" s="79"/>
      <c r="BO69" s="79"/>
      <c r="BP69" s="79"/>
      <c r="BQ69" s="79"/>
      <c r="BR69" s="79"/>
      <c r="BS69" s="79"/>
      <c r="BT69" s="79"/>
      <c r="BU69" s="79"/>
      <c r="BV69" s="79"/>
      <c r="BW69" s="79"/>
      <c r="BX69" s="79"/>
      <c r="BY69" s="79"/>
      <c r="BZ69" s="79"/>
      <c r="CA69" s="79"/>
      <c r="CB69" s="79"/>
      <c r="CC69" s="79"/>
      <c r="CD69" s="79"/>
      <c r="CE69" s="79"/>
      <c r="CF69" s="79"/>
      <c r="CG69" s="79"/>
      <c r="CH69" s="79"/>
      <c r="CI69" s="79"/>
      <c r="CJ69" s="79"/>
      <c r="CK69" s="79"/>
      <c r="CL69" s="79"/>
      <c r="CM69" s="79"/>
      <c r="CN69" s="79"/>
      <c r="CO69" s="79"/>
      <c r="CP69" s="79"/>
      <c r="CQ69" s="79"/>
      <c r="CR69" s="79"/>
      <c r="CS69" s="79"/>
      <c r="CT69" s="79"/>
      <c r="CU69" s="79"/>
      <c r="CV69" s="79"/>
      <c r="CW69" s="79"/>
      <c r="CX69" s="79"/>
      <c r="CY69" s="79"/>
      <c r="CZ69" s="79"/>
      <c r="DA69" s="79"/>
      <c r="DB69" s="79"/>
      <c r="DC69" s="79"/>
      <c r="DD69" s="79"/>
      <c r="DE69" s="79"/>
      <c r="DF69" s="79"/>
      <c r="DG69" s="79"/>
      <c r="DH69" s="79"/>
      <c r="DI69" s="79"/>
      <c r="DJ69" s="79"/>
      <c r="DK69" s="79"/>
      <c r="DL69" s="79"/>
      <c r="DM69" s="79"/>
      <c r="DN69" s="79"/>
      <c r="DO69" s="79"/>
      <c r="DP69" s="79"/>
      <c r="DQ69" s="79"/>
      <c r="DR69" s="79"/>
      <c r="DS69" s="79"/>
    </row>
    <row r="70" spans="1:123" s="80" customFormat="1" ht="21.95" customHeight="1">
      <c r="A70" s="446" t="s">
        <v>601</v>
      </c>
      <c r="B70" s="3155">
        <f>'예산세출(사무국)'!Q201</f>
        <v>91448000</v>
      </c>
      <c r="C70" s="3122">
        <f t="shared" si="5"/>
        <v>1.0496994488067773E-2</v>
      </c>
      <c r="D70" s="3121">
        <f>'예산세출(사무국)'!R201</f>
        <v>91448000</v>
      </c>
      <c r="E70" s="3120">
        <f t="shared" si="11"/>
        <v>8.9458803002320699E-3</v>
      </c>
      <c r="F70" s="3123">
        <f>+B70-D70</f>
        <v>0</v>
      </c>
      <c r="G70" s="3124">
        <f t="shared" si="34"/>
        <v>0</v>
      </c>
      <c r="H70" s="81"/>
      <c r="I70" s="85"/>
      <c r="J70" s="85"/>
      <c r="K70" s="85"/>
      <c r="L70" s="85"/>
      <c r="M70" s="85"/>
      <c r="N70" s="79"/>
      <c r="O70" s="79"/>
      <c r="P70" s="85"/>
      <c r="Q70" s="85"/>
      <c r="R70" s="85"/>
      <c r="S70" s="85"/>
      <c r="T70" s="85"/>
      <c r="U70" s="85"/>
      <c r="V70" s="85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/>
      <c r="BF70" s="79"/>
      <c r="BG70" s="79"/>
      <c r="BH70" s="79"/>
      <c r="BI70" s="79"/>
      <c r="BJ70" s="79"/>
      <c r="BK70" s="79"/>
      <c r="BL70" s="79"/>
      <c r="BM70" s="79"/>
      <c r="BN70" s="79"/>
      <c r="BO70" s="79"/>
      <c r="BP70" s="79"/>
      <c r="BQ70" s="79"/>
      <c r="BR70" s="79"/>
      <c r="BS70" s="79"/>
      <c r="BT70" s="79"/>
      <c r="BU70" s="79"/>
      <c r="BV70" s="79"/>
      <c r="BW70" s="79"/>
      <c r="BX70" s="79"/>
      <c r="BY70" s="79"/>
      <c r="BZ70" s="79"/>
      <c r="CA70" s="79"/>
      <c r="CB70" s="79"/>
      <c r="CC70" s="79"/>
      <c r="CD70" s="79"/>
      <c r="CE70" s="79"/>
      <c r="CF70" s="79"/>
      <c r="CG70" s="79"/>
      <c r="CH70" s="79"/>
      <c r="CI70" s="79"/>
      <c r="CJ70" s="79"/>
      <c r="CK70" s="79"/>
      <c r="CL70" s="79"/>
      <c r="CM70" s="79"/>
      <c r="CN70" s="79"/>
      <c r="CO70" s="79"/>
      <c r="CP70" s="79"/>
      <c r="CQ70" s="79"/>
      <c r="CR70" s="79"/>
      <c r="CS70" s="79"/>
      <c r="CT70" s="79"/>
      <c r="CU70" s="79"/>
      <c r="CV70" s="79"/>
      <c r="CW70" s="79"/>
      <c r="CX70" s="79"/>
      <c r="CY70" s="79"/>
      <c r="CZ70" s="79"/>
      <c r="DA70" s="79"/>
      <c r="DB70" s="79"/>
      <c r="DC70" s="79"/>
      <c r="DD70" s="79"/>
      <c r="DE70" s="79"/>
      <c r="DF70" s="79"/>
      <c r="DG70" s="79"/>
      <c r="DH70" s="79"/>
      <c r="DI70" s="79"/>
      <c r="DJ70" s="79"/>
      <c r="DK70" s="79"/>
      <c r="DL70" s="79"/>
      <c r="DM70" s="79"/>
      <c r="DN70" s="79"/>
      <c r="DO70" s="79"/>
      <c r="DP70" s="79"/>
      <c r="DQ70" s="79"/>
      <c r="DR70" s="79"/>
      <c r="DS70" s="79"/>
    </row>
    <row r="71" spans="1:123" s="80" customFormat="1" ht="21.95" customHeight="1">
      <c r="A71" s="283" t="s">
        <v>695</v>
      </c>
      <c r="B71" s="284">
        <f>SUM(B72:B72)</f>
        <v>0</v>
      </c>
      <c r="C71" s="285">
        <f t="shared" si="5"/>
        <v>0</v>
      </c>
      <c r="D71" s="284">
        <f>SUM(D72:D72)</f>
        <v>20000000</v>
      </c>
      <c r="E71" s="285">
        <f t="shared" si="11"/>
        <v>1.9564955603691868E-3</v>
      </c>
      <c r="F71" s="287">
        <f>B71-D71</f>
        <v>-20000000</v>
      </c>
      <c r="G71" s="288">
        <f t="shared" si="34"/>
        <v>-1</v>
      </c>
      <c r="H71" s="86"/>
      <c r="I71" s="85"/>
      <c r="J71" s="85"/>
      <c r="K71" s="85"/>
      <c r="L71" s="85"/>
      <c r="M71" s="85"/>
      <c r="N71" s="79"/>
      <c r="O71" s="79"/>
      <c r="P71" s="85"/>
      <c r="Q71" s="85"/>
      <c r="R71" s="85"/>
      <c r="S71" s="85"/>
      <c r="T71" s="85"/>
      <c r="U71" s="85"/>
      <c r="V71" s="85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9"/>
      <c r="AS71" s="79"/>
      <c r="AT71" s="79"/>
      <c r="AU71" s="79"/>
      <c r="AV71" s="79"/>
      <c r="AW71" s="79"/>
      <c r="AX71" s="79"/>
      <c r="AY71" s="79"/>
      <c r="AZ71" s="79"/>
      <c r="BA71" s="79"/>
      <c r="BB71" s="79"/>
      <c r="BC71" s="79"/>
      <c r="BD71" s="79"/>
      <c r="BE71" s="79"/>
      <c r="BF71" s="79"/>
      <c r="BG71" s="79"/>
      <c r="BH71" s="79"/>
      <c r="BI71" s="79"/>
      <c r="BJ71" s="79"/>
      <c r="BK71" s="79"/>
      <c r="BL71" s="79"/>
      <c r="BM71" s="79"/>
      <c r="BN71" s="79"/>
      <c r="BO71" s="79"/>
      <c r="BP71" s="79"/>
      <c r="BQ71" s="79"/>
      <c r="BR71" s="79"/>
      <c r="BS71" s="79"/>
      <c r="BT71" s="79"/>
      <c r="BU71" s="79"/>
      <c r="BV71" s="79"/>
      <c r="BW71" s="79"/>
      <c r="BX71" s="79"/>
      <c r="BY71" s="79"/>
      <c r="BZ71" s="79"/>
      <c r="CA71" s="79"/>
      <c r="CB71" s="79"/>
      <c r="CC71" s="79"/>
      <c r="CD71" s="79"/>
      <c r="CE71" s="79"/>
      <c r="CF71" s="79"/>
      <c r="CG71" s="79"/>
      <c r="CH71" s="79"/>
      <c r="CI71" s="79"/>
      <c r="CJ71" s="79"/>
      <c r="CK71" s="79"/>
      <c r="CL71" s="79"/>
      <c r="CM71" s="79"/>
      <c r="CN71" s="79"/>
      <c r="CO71" s="79"/>
      <c r="CP71" s="79"/>
      <c r="CQ71" s="79"/>
      <c r="CR71" s="79"/>
      <c r="CS71" s="79"/>
      <c r="CT71" s="79"/>
      <c r="CU71" s="79"/>
      <c r="CV71" s="79"/>
      <c r="CW71" s="79"/>
      <c r="CX71" s="79"/>
      <c r="CY71" s="79"/>
      <c r="CZ71" s="79"/>
      <c r="DA71" s="79"/>
      <c r="DB71" s="79"/>
      <c r="DC71" s="79"/>
      <c r="DD71" s="79"/>
      <c r="DE71" s="79"/>
      <c r="DF71" s="79"/>
      <c r="DG71" s="79"/>
      <c r="DH71" s="79"/>
      <c r="DI71" s="79"/>
      <c r="DJ71" s="79"/>
      <c r="DK71" s="79"/>
      <c r="DL71" s="79"/>
      <c r="DM71" s="79"/>
      <c r="DN71" s="79"/>
      <c r="DO71" s="79"/>
      <c r="DP71" s="79"/>
      <c r="DQ71" s="79"/>
      <c r="DR71" s="79"/>
      <c r="DS71" s="79"/>
    </row>
    <row r="72" spans="1:123" s="80" customFormat="1" ht="21.95" customHeight="1">
      <c r="A72" s="464" t="s">
        <v>601</v>
      </c>
      <c r="B72" s="3155">
        <f>'예산세출(사무국)'!Q316</f>
        <v>0</v>
      </c>
      <c r="C72" s="3156">
        <f t="shared" si="5"/>
        <v>0</v>
      </c>
      <c r="D72" s="3155">
        <f>'예산세출(사무국)'!R318</f>
        <v>20000000</v>
      </c>
      <c r="E72" s="3156">
        <f t="shared" si="11"/>
        <v>1.9564955603691868E-3</v>
      </c>
      <c r="F72" s="3157">
        <f>+B72-D72</f>
        <v>-20000000</v>
      </c>
      <c r="G72" s="3158">
        <f t="shared" si="34"/>
        <v>-1</v>
      </c>
      <c r="H72" s="81"/>
      <c r="I72" s="85"/>
      <c r="J72" s="85"/>
      <c r="K72" s="85"/>
      <c r="L72" s="85"/>
      <c r="M72" s="85"/>
      <c r="N72" s="79"/>
      <c r="O72" s="79"/>
      <c r="P72" s="85"/>
      <c r="Q72" s="85"/>
      <c r="R72" s="85"/>
      <c r="S72" s="85"/>
      <c r="T72" s="85"/>
      <c r="U72" s="85"/>
      <c r="V72" s="85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F72" s="79"/>
      <c r="BG72" s="79"/>
      <c r="BH72" s="79"/>
      <c r="BI72" s="79"/>
      <c r="BJ72" s="79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  <c r="CE72" s="79"/>
      <c r="CF72" s="79"/>
      <c r="CG72" s="79"/>
      <c r="CH72" s="79"/>
      <c r="CI72" s="79"/>
      <c r="CJ72" s="79"/>
      <c r="CK72" s="79"/>
      <c r="CL72" s="79"/>
      <c r="CM72" s="79"/>
      <c r="CN72" s="79"/>
      <c r="CO72" s="79"/>
      <c r="CP72" s="79"/>
      <c r="CQ72" s="79"/>
      <c r="CR72" s="79"/>
      <c r="CS72" s="79"/>
      <c r="CT72" s="79"/>
      <c r="CU72" s="79"/>
      <c r="CV72" s="79"/>
      <c r="CW72" s="79"/>
      <c r="CX72" s="79"/>
      <c r="CY72" s="79"/>
      <c r="CZ72" s="79"/>
      <c r="DA72" s="79"/>
      <c r="DB72" s="79"/>
      <c r="DC72" s="79"/>
      <c r="DD72" s="79"/>
      <c r="DE72" s="79"/>
      <c r="DF72" s="79"/>
      <c r="DG72" s="79"/>
      <c r="DH72" s="79"/>
      <c r="DI72" s="79"/>
      <c r="DJ72" s="79"/>
      <c r="DK72" s="79"/>
      <c r="DL72" s="79"/>
      <c r="DM72" s="79"/>
      <c r="DN72" s="79"/>
      <c r="DO72" s="79"/>
      <c r="DP72" s="79"/>
      <c r="DQ72" s="79"/>
      <c r="DR72" s="79"/>
      <c r="DS72" s="79"/>
    </row>
    <row r="73" spans="1:123" s="80" customFormat="1" ht="21.95" customHeight="1">
      <c r="A73" s="323" t="s">
        <v>701</v>
      </c>
      <c r="B73" s="324">
        <f>SUM(B74,B81,B100,B119,B132,B110,B93,B117)</f>
        <v>2397314000</v>
      </c>
      <c r="C73" s="325">
        <f t="shared" si="5"/>
        <v>0.27517924770544688</v>
      </c>
      <c r="D73" s="324">
        <f>SUM(D74,D81,D100,D119,D132,D110,D93)</f>
        <v>2188137000</v>
      </c>
      <c r="E73" s="325">
        <f t="shared" si="11"/>
        <v>0.21405401629897758</v>
      </c>
      <c r="F73" s="326">
        <f>SUM(F74,F81,F100,F119,F132,F110)</f>
        <v>168344000</v>
      </c>
      <c r="G73" s="327">
        <f t="shared" si="34"/>
        <v>7.6934853713455778E-2</v>
      </c>
      <c r="H73" s="89"/>
      <c r="I73" s="85"/>
      <c r="J73" s="85"/>
      <c r="K73" s="85"/>
      <c r="L73" s="85"/>
      <c r="M73" s="85"/>
      <c r="N73" s="79"/>
      <c r="O73" s="79"/>
      <c r="P73" s="85"/>
      <c r="Q73" s="85"/>
      <c r="R73" s="85"/>
      <c r="S73" s="85"/>
      <c r="T73" s="85"/>
      <c r="U73" s="85"/>
      <c r="V73" s="85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79"/>
      <c r="BF73" s="79"/>
      <c r="BG73" s="79"/>
      <c r="BH73" s="79"/>
      <c r="BI73" s="79"/>
      <c r="BJ73" s="79"/>
      <c r="BK73" s="79"/>
      <c r="BL73" s="79"/>
      <c r="BM73" s="79"/>
      <c r="BN73" s="79"/>
      <c r="BO73" s="79"/>
      <c r="BP73" s="79"/>
      <c r="BQ73" s="79"/>
      <c r="BR73" s="79"/>
      <c r="BS73" s="79"/>
      <c r="BT73" s="79"/>
      <c r="BU73" s="79"/>
      <c r="BV73" s="79"/>
      <c r="BW73" s="79"/>
      <c r="BX73" s="79"/>
      <c r="BY73" s="79"/>
      <c r="BZ73" s="79"/>
      <c r="CA73" s="79"/>
      <c r="CB73" s="79"/>
      <c r="CC73" s="79"/>
      <c r="CD73" s="79"/>
      <c r="CE73" s="79"/>
      <c r="CF73" s="79"/>
      <c r="CG73" s="79"/>
      <c r="CH73" s="79"/>
      <c r="CI73" s="79"/>
      <c r="CJ73" s="79"/>
      <c r="CK73" s="79"/>
      <c r="CL73" s="79"/>
      <c r="CM73" s="79"/>
      <c r="CN73" s="79"/>
      <c r="CO73" s="79"/>
      <c r="CP73" s="79"/>
      <c r="CQ73" s="79"/>
      <c r="CR73" s="79"/>
      <c r="CS73" s="79"/>
      <c r="CT73" s="79"/>
      <c r="CU73" s="79"/>
      <c r="CV73" s="79"/>
      <c r="CW73" s="79"/>
      <c r="CX73" s="79"/>
      <c r="CY73" s="79"/>
      <c r="CZ73" s="79"/>
      <c r="DA73" s="79"/>
      <c r="DB73" s="79"/>
      <c r="DC73" s="79"/>
      <c r="DD73" s="79"/>
      <c r="DE73" s="79"/>
      <c r="DF73" s="79"/>
      <c r="DG73" s="79"/>
      <c r="DH73" s="79"/>
      <c r="DI73" s="79"/>
      <c r="DJ73" s="79"/>
      <c r="DK73" s="79"/>
      <c r="DL73" s="79"/>
      <c r="DM73" s="79"/>
      <c r="DN73" s="79"/>
      <c r="DO73" s="79"/>
      <c r="DP73" s="79"/>
      <c r="DQ73" s="79"/>
      <c r="DR73" s="79"/>
      <c r="DS73" s="79"/>
    </row>
    <row r="74" spans="1:123" s="80" customFormat="1" ht="21.95" customHeight="1">
      <c r="A74" s="278" t="s">
        <v>694</v>
      </c>
      <c r="B74" s="279">
        <f>SUM(B75:B80)</f>
        <v>302874000</v>
      </c>
      <c r="C74" s="280">
        <f>+B74/$B$7</f>
        <v>3.4765841883682952E-2</v>
      </c>
      <c r="D74" s="279">
        <f>SUM(D75:D80)</f>
        <v>265752000</v>
      </c>
      <c r="E74" s="280">
        <f t="shared" si="11"/>
        <v>2.5997130407961606E-2</v>
      </c>
      <c r="F74" s="281">
        <f>SUM(F75:F80)</f>
        <v>37122000</v>
      </c>
      <c r="G74" s="300">
        <f t="shared" si="34"/>
        <v>0.13968662512417593</v>
      </c>
      <c r="H74" s="87"/>
      <c r="I74" s="85"/>
      <c r="J74" s="85"/>
      <c r="K74" s="85"/>
      <c r="L74" s="85"/>
      <c r="M74" s="85"/>
      <c r="N74" s="79"/>
      <c r="O74" s="79"/>
      <c r="P74" s="85"/>
      <c r="Q74" s="85"/>
      <c r="R74" s="85"/>
      <c r="S74" s="85"/>
      <c r="T74" s="85"/>
      <c r="U74" s="85"/>
      <c r="V74" s="85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79"/>
      <c r="BD74" s="79"/>
      <c r="BE74" s="79"/>
      <c r="BF74" s="79"/>
      <c r="BG74" s="79"/>
      <c r="BH74" s="79"/>
      <c r="BI74" s="79"/>
      <c r="BJ74" s="79"/>
      <c r="BK74" s="79"/>
      <c r="BL74" s="79"/>
      <c r="BM74" s="79"/>
      <c r="BN74" s="79"/>
      <c r="BO74" s="79"/>
      <c r="BP74" s="79"/>
      <c r="BQ74" s="79"/>
      <c r="BR74" s="79"/>
      <c r="BS74" s="79"/>
      <c r="BT74" s="79"/>
      <c r="BU74" s="79"/>
      <c r="BV74" s="79"/>
      <c r="BW74" s="79"/>
      <c r="BX74" s="79"/>
      <c r="BY74" s="79"/>
      <c r="BZ74" s="79"/>
      <c r="CA74" s="79"/>
      <c r="CB74" s="79"/>
      <c r="CC74" s="79"/>
      <c r="CD74" s="79"/>
      <c r="CE74" s="79"/>
      <c r="CF74" s="79"/>
      <c r="CG74" s="79"/>
      <c r="CH74" s="79"/>
      <c r="CI74" s="79"/>
      <c r="CJ74" s="79"/>
      <c r="CK74" s="79"/>
      <c r="CL74" s="79"/>
      <c r="CM74" s="79"/>
      <c r="CN74" s="79"/>
      <c r="CO74" s="79"/>
      <c r="CP74" s="79"/>
      <c r="CQ74" s="79"/>
      <c r="CR74" s="79"/>
      <c r="CS74" s="79"/>
      <c r="CT74" s="79"/>
      <c r="CU74" s="79"/>
      <c r="CV74" s="79"/>
      <c r="CW74" s="79"/>
      <c r="CX74" s="79"/>
      <c r="CY74" s="79"/>
      <c r="CZ74" s="79"/>
      <c r="DA74" s="79"/>
      <c r="DB74" s="79"/>
      <c r="DC74" s="79"/>
      <c r="DD74" s="79"/>
      <c r="DE74" s="79"/>
      <c r="DF74" s="79"/>
      <c r="DG74" s="79"/>
      <c r="DH74" s="79"/>
      <c r="DI74" s="79"/>
      <c r="DJ74" s="79"/>
      <c r="DK74" s="79"/>
      <c r="DL74" s="79"/>
      <c r="DM74" s="79"/>
      <c r="DN74" s="79"/>
      <c r="DO74" s="79"/>
      <c r="DP74" s="79"/>
      <c r="DQ74" s="79"/>
      <c r="DR74" s="79"/>
      <c r="DS74" s="79"/>
    </row>
    <row r="75" spans="1:123" s="80" customFormat="1" ht="21.95" customHeight="1">
      <c r="A75" s="454" t="s">
        <v>591</v>
      </c>
      <c r="B75" s="3139">
        <f>'예산세출(마두)'!Q206</f>
        <v>187960000</v>
      </c>
      <c r="C75" s="3140">
        <f t="shared" si="5"/>
        <v>2.1575267736606799E-2</v>
      </c>
      <c r="D75" s="3139">
        <f>'예산세출(마두)'!R206</f>
        <v>171310000</v>
      </c>
      <c r="E75" s="3140">
        <f t="shared" si="11"/>
        <v>1.6758362722342268E-2</v>
      </c>
      <c r="F75" s="3141">
        <f t="shared" ref="F75:F80" si="35">+B75-D75</f>
        <v>16650000</v>
      </c>
      <c r="G75" s="3142">
        <f t="shared" ref="G75:G137" si="36">+F75/D75</f>
        <v>9.719222462203024E-2</v>
      </c>
      <c r="H75" s="87"/>
      <c r="I75" s="85"/>
      <c r="J75" s="85"/>
      <c r="K75" s="85"/>
      <c r="L75" s="85"/>
      <c r="M75" s="85"/>
      <c r="N75" s="79"/>
      <c r="O75" s="79"/>
      <c r="P75" s="85"/>
      <c r="Q75" s="85"/>
      <c r="R75" s="85"/>
      <c r="S75" s="85"/>
      <c r="T75" s="85"/>
      <c r="U75" s="85"/>
      <c r="V75" s="85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79"/>
      <c r="BE75" s="79"/>
      <c r="BF75" s="79"/>
      <c r="BG75" s="79"/>
      <c r="BH75" s="79"/>
      <c r="BI75" s="79"/>
      <c r="BJ75" s="79"/>
      <c r="BK75" s="79"/>
      <c r="BL75" s="79"/>
      <c r="BM75" s="79"/>
      <c r="BN75" s="79"/>
      <c r="BO75" s="79"/>
      <c r="BP75" s="79"/>
      <c r="BQ75" s="79"/>
      <c r="BR75" s="79"/>
      <c r="BS75" s="79"/>
      <c r="BT75" s="79"/>
      <c r="BU75" s="79"/>
      <c r="BV75" s="79"/>
      <c r="BW75" s="79"/>
      <c r="BX75" s="79"/>
      <c r="BY75" s="79"/>
      <c r="BZ75" s="79"/>
      <c r="CA75" s="79"/>
      <c r="CB75" s="79"/>
      <c r="CC75" s="79"/>
      <c r="CD75" s="79"/>
      <c r="CE75" s="79"/>
      <c r="CF75" s="79"/>
      <c r="CG75" s="79"/>
      <c r="CH75" s="79"/>
      <c r="CI75" s="79"/>
      <c r="CJ75" s="79"/>
      <c r="CK75" s="79"/>
      <c r="CL75" s="79"/>
      <c r="CM75" s="79"/>
      <c r="CN75" s="79"/>
      <c r="CO75" s="79"/>
      <c r="CP75" s="79"/>
      <c r="CQ75" s="79"/>
      <c r="CR75" s="79"/>
      <c r="CS75" s="79"/>
      <c r="CT75" s="79"/>
      <c r="CU75" s="79"/>
      <c r="CV75" s="79"/>
      <c r="CW75" s="79"/>
      <c r="CX75" s="79"/>
      <c r="CY75" s="79"/>
      <c r="CZ75" s="79"/>
      <c r="DA75" s="79"/>
      <c r="DB75" s="79"/>
      <c r="DC75" s="79"/>
      <c r="DD75" s="79"/>
      <c r="DE75" s="79"/>
      <c r="DF75" s="79"/>
      <c r="DG75" s="79"/>
      <c r="DH75" s="79"/>
      <c r="DI75" s="79"/>
      <c r="DJ75" s="79"/>
      <c r="DK75" s="79"/>
      <c r="DL75" s="79"/>
      <c r="DM75" s="79"/>
      <c r="DN75" s="79"/>
      <c r="DO75" s="79"/>
      <c r="DP75" s="79"/>
      <c r="DQ75" s="79"/>
      <c r="DR75" s="79"/>
      <c r="DS75" s="79"/>
    </row>
    <row r="76" spans="1:123" s="80" customFormat="1" ht="21.95" customHeight="1">
      <c r="A76" s="439" t="s">
        <v>622</v>
      </c>
      <c r="B76" s="3129">
        <f>'예산세출(일산서구)'!Q252</f>
        <v>47711000</v>
      </c>
      <c r="C76" s="3130">
        <f>+B76/$B$7</f>
        <v>5.4765779898981008E-3</v>
      </c>
      <c r="D76" s="3129">
        <f>'예산세출(일산서구)'!R252</f>
        <v>34140000</v>
      </c>
      <c r="E76" s="3130">
        <f t="shared" si="11"/>
        <v>3.3397379215502018E-3</v>
      </c>
      <c r="F76" s="3131">
        <f t="shared" si="35"/>
        <v>13571000</v>
      </c>
      <c r="G76" s="3132">
        <f t="shared" si="36"/>
        <v>0.39751025190392503</v>
      </c>
      <c r="H76" s="87"/>
      <c r="I76" s="85"/>
      <c r="J76" s="85"/>
      <c r="K76" s="85"/>
      <c r="L76" s="85"/>
      <c r="M76" s="85"/>
      <c r="N76" s="79"/>
      <c r="O76" s="79"/>
      <c r="P76" s="85"/>
      <c r="Q76" s="85"/>
      <c r="R76" s="85"/>
      <c r="S76" s="85"/>
      <c r="T76" s="85"/>
      <c r="U76" s="85"/>
      <c r="V76" s="85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  <c r="AI76" s="79"/>
      <c r="AJ76" s="79"/>
      <c r="AK76" s="79"/>
      <c r="AL76" s="79"/>
      <c r="AM76" s="79"/>
      <c r="AN76" s="79"/>
      <c r="AO76" s="79"/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/>
      <c r="BF76" s="79"/>
      <c r="BG76" s="79"/>
      <c r="BH76" s="79"/>
      <c r="BI76" s="79"/>
      <c r="BJ76" s="79"/>
      <c r="BK76" s="79"/>
      <c r="BL76" s="79"/>
      <c r="BM76" s="79"/>
      <c r="BN76" s="79"/>
      <c r="BO76" s="79"/>
      <c r="BP76" s="79"/>
      <c r="BQ76" s="79"/>
      <c r="BR76" s="79"/>
      <c r="BS76" s="79"/>
      <c r="BT76" s="79"/>
      <c r="BU76" s="79"/>
      <c r="BV76" s="79"/>
      <c r="BW76" s="79"/>
      <c r="BX76" s="79"/>
      <c r="BY76" s="79"/>
      <c r="BZ76" s="79"/>
      <c r="CA76" s="79"/>
      <c r="CB76" s="79"/>
      <c r="CC76" s="79"/>
      <c r="CD76" s="79"/>
      <c r="CE76" s="79"/>
      <c r="CF76" s="79"/>
      <c r="CG76" s="79"/>
      <c r="CH76" s="79"/>
      <c r="CI76" s="79"/>
      <c r="CJ76" s="79"/>
      <c r="CK76" s="79"/>
      <c r="CL76" s="79"/>
      <c r="CM76" s="79"/>
      <c r="CN76" s="79"/>
      <c r="CO76" s="79"/>
      <c r="CP76" s="79"/>
      <c r="CQ76" s="79"/>
      <c r="CR76" s="79"/>
      <c r="CS76" s="79"/>
      <c r="CT76" s="79"/>
      <c r="CU76" s="79"/>
      <c r="CV76" s="79"/>
      <c r="CW76" s="79"/>
      <c r="CX76" s="79"/>
      <c r="CY76" s="79"/>
      <c r="CZ76" s="79"/>
      <c r="DA76" s="79"/>
      <c r="DB76" s="79"/>
      <c r="DC76" s="79"/>
      <c r="DD76" s="79"/>
      <c r="DE76" s="79"/>
      <c r="DF76" s="79"/>
      <c r="DG76" s="79"/>
      <c r="DH76" s="79"/>
      <c r="DI76" s="79"/>
      <c r="DJ76" s="79"/>
      <c r="DK76" s="79"/>
      <c r="DL76" s="79"/>
      <c r="DM76" s="79"/>
      <c r="DN76" s="79"/>
      <c r="DO76" s="79"/>
      <c r="DP76" s="79"/>
      <c r="DQ76" s="79"/>
      <c r="DR76" s="79"/>
      <c r="DS76" s="79"/>
    </row>
    <row r="77" spans="1:123" s="80" customFormat="1" ht="21.95" customHeight="1">
      <c r="A77" s="448" t="s">
        <v>593</v>
      </c>
      <c r="B77" s="3129">
        <f>'예산세출(토당)'!Q106</f>
        <v>35699000</v>
      </c>
      <c r="C77" s="3130">
        <f t="shared" si="5"/>
        <v>4.0977627310551509E-3</v>
      </c>
      <c r="D77" s="3129">
        <f>'예산세출(토당)'!R106</f>
        <v>34302000</v>
      </c>
      <c r="E77" s="3130">
        <f t="shared" si="11"/>
        <v>3.3555855355891923E-3</v>
      </c>
      <c r="F77" s="3131">
        <f t="shared" si="35"/>
        <v>1397000</v>
      </c>
      <c r="G77" s="3132">
        <f t="shared" si="36"/>
        <v>4.0726488251413909E-2</v>
      </c>
      <c r="H77" s="87"/>
      <c r="I77" s="85"/>
      <c r="J77" s="85"/>
      <c r="K77" s="85"/>
      <c r="L77" s="85"/>
      <c r="M77" s="85"/>
      <c r="N77" s="79"/>
      <c r="O77" s="79"/>
      <c r="P77" s="85"/>
      <c r="Q77" s="85"/>
      <c r="R77" s="85"/>
      <c r="S77" s="85"/>
      <c r="T77" s="85"/>
      <c r="U77" s="85"/>
      <c r="V77" s="85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/>
      <c r="BF77" s="79"/>
      <c r="BG77" s="79"/>
      <c r="BH77" s="79"/>
      <c r="BI77" s="79"/>
      <c r="BJ77" s="79"/>
      <c r="BK77" s="79"/>
      <c r="BL77" s="79"/>
      <c r="BM77" s="79"/>
      <c r="BN77" s="79"/>
      <c r="BO77" s="79"/>
      <c r="BP77" s="79"/>
      <c r="BQ77" s="79"/>
      <c r="BR77" s="79"/>
      <c r="BS77" s="79"/>
      <c r="BT77" s="79"/>
      <c r="BU77" s="79"/>
      <c r="BV77" s="79"/>
      <c r="BW77" s="79"/>
      <c r="BX77" s="79"/>
      <c r="BY77" s="79"/>
      <c r="BZ77" s="79"/>
      <c r="CA77" s="79"/>
      <c r="CB77" s="79"/>
      <c r="CC77" s="79"/>
      <c r="CD77" s="79"/>
      <c r="CE77" s="79"/>
      <c r="CF77" s="79"/>
      <c r="CG77" s="79"/>
      <c r="CH77" s="79"/>
      <c r="CI77" s="79"/>
      <c r="CJ77" s="79"/>
      <c r="CK77" s="79"/>
      <c r="CL77" s="79"/>
      <c r="CM77" s="79"/>
      <c r="CN77" s="79"/>
      <c r="CO77" s="79"/>
      <c r="CP77" s="79"/>
      <c r="CQ77" s="79"/>
      <c r="CR77" s="79"/>
      <c r="CS77" s="79"/>
      <c r="CT77" s="79"/>
      <c r="CU77" s="79"/>
      <c r="CV77" s="79"/>
      <c r="CW77" s="79"/>
      <c r="CX77" s="79"/>
      <c r="CY77" s="79"/>
      <c r="CZ77" s="79"/>
      <c r="DA77" s="79"/>
      <c r="DB77" s="79"/>
      <c r="DC77" s="79"/>
      <c r="DD77" s="79"/>
      <c r="DE77" s="79"/>
      <c r="DF77" s="79"/>
      <c r="DG77" s="79"/>
      <c r="DH77" s="79"/>
      <c r="DI77" s="79"/>
      <c r="DJ77" s="79"/>
      <c r="DK77" s="79"/>
      <c r="DL77" s="79"/>
      <c r="DM77" s="79"/>
      <c r="DN77" s="79"/>
      <c r="DO77" s="79"/>
      <c r="DP77" s="79"/>
      <c r="DQ77" s="79"/>
      <c r="DR77" s="79"/>
      <c r="DS77" s="79"/>
    </row>
    <row r="78" spans="1:123" s="80" customFormat="1" ht="21.95" customHeight="1">
      <c r="A78" s="441" t="s">
        <v>594</v>
      </c>
      <c r="B78" s="3144">
        <f>'예산세출(상담)'!Q164</f>
        <v>9664000</v>
      </c>
      <c r="C78" s="3134">
        <f t="shared" ref="C78" si="37">+B78/$B$7</f>
        <v>1.1092965918629927E-3</v>
      </c>
      <c r="D78" s="3144">
        <v>0</v>
      </c>
      <c r="E78" s="3134">
        <f t="shared" ref="E78" si="38">+D78/$D$7</f>
        <v>0</v>
      </c>
      <c r="F78" s="3145">
        <f t="shared" ref="F78" si="39">+B78-D78</f>
        <v>9664000</v>
      </c>
      <c r="G78" s="3135"/>
      <c r="H78" s="87"/>
      <c r="I78" s="85"/>
      <c r="J78" s="85"/>
      <c r="K78" s="85"/>
      <c r="L78" s="85"/>
      <c r="M78" s="85"/>
      <c r="N78" s="79"/>
      <c r="O78" s="79"/>
      <c r="P78" s="85"/>
      <c r="Q78" s="85"/>
      <c r="R78" s="85"/>
      <c r="S78" s="85"/>
      <c r="T78" s="85"/>
      <c r="U78" s="85"/>
      <c r="V78" s="85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79"/>
      <c r="BD78" s="79"/>
      <c r="BE78" s="79"/>
      <c r="BF78" s="79"/>
      <c r="BG78" s="79"/>
      <c r="BH78" s="79"/>
      <c r="BI78" s="79"/>
      <c r="BJ78" s="79"/>
      <c r="BK78" s="79"/>
      <c r="BL78" s="79"/>
      <c r="BM78" s="79"/>
      <c r="BN78" s="79"/>
      <c r="BO78" s="79"/>
      <c r="BP78" s="79"/>
      <c r="BQ78" s="79"/>
      <c r="BR78" s="79"/>
      <c r="BS78" s="79"/>
      <c r="BT78" s="79"/>
      <c r="BU78" s="79"/>
      <c r="BV78" s="79"/>
      <c r="BW78" s="79"/>
      <c r="BX78" s="79"/>
      <c r="BY78" s="79"/>
      <c r="BZ78" s="79"/>
      <c r="CA78" s="79"/>
      <c r="CB78" s="79"/>
      <c r="CC78" s="79"/>
      <c r="CD78" s="79"/>
      <c r="CE78" s="79"/>
      <c r="CF78" s="79"/>
      <c r="CG78" s="79"/>
      <c r="CH78" s="79"/>
      <c r="CI78" s="79"/>
      <c r="CJ78" s="79"/>
      <c r="CK78" s="79"/>
      <c r="CL78" s="79"/>
      <c r="CM78" s="79"/>
      <c r="CN78" s="79"/>
      <c r="CO78" s="79"/>
      <c r="CP78" s="79"/>
      <c r="CQ78" s="79"/>
      <c r="CR78" s="79"/>
      <c r="CS78" s="79"/>
      <c r="CT78" s="79"/>
      <c r="CU78" s="79"/>
      <c r="CV78" s="79"/>
      <c r="CW78" s="79"/>
      <c r="CX78" s="79"/>
      <c r="CY78" s="79"/>
      <c r="CZ78" s="79"/>
      <c r="DA78" s="79"/>
      <c r="DB78" s="79"/>
      <c r="DC78" s="79"/>
      <c r="DD78" s="79"/>
      <c r="DE78" s="79"/>
      <c r="DF78" s="79"/>
      <c r="DG78" s="79"/>
      <c r="DH78" s="79"/>
      <c r="DI78" s="79"/>
      <c r="DJ78" s="79"/>
      <c r="DK78" s="79"/>
      <c r="DL78" s="79"/>
      <c r="DM78" s="79"/>
      <c r="DN78" s="79"/>
      <c r="DO78" s="79"/>
      <c r="DP78" s="79"/>
      <c r="DQ78" s="79"/>
      <c r="DR78" s="79"/>
      <c r="DS78" s="79"/>
    </row>
    <row r="79" spans="1:123" s="80" customFormat="1" ht="21.95" customHeight="1">
      <c r="A79" s="453" t="s">
        <v>590</v>
      </c>
      <c r="B79" s="3136">
        <f>'예산세출(화정)'!Q142</f>
        <v>18240000</v>
      </c>
      <c r="C79" s="3133">
        <f t="shared" si="5"/>
        <v>2.0937054879533305E-3</v>
      </c>
      <c r="D79" s="3136">
        <f>'예산세출(화정)'!R142</f>
        <v>18000000</v>
      </c>
      <c r="E79" s="3133">
        <f t="shared" si="11"/>
        <v>1.7608460043322682E-3</v>
      </c>
      <c r="F79" s="3137">
        <f t="shared" si="35"/>
        <v>240000</v>
      </c>
      <c r="G79" s="3138">
        <f t="shared" si="36"/>
        <v>1.3333333333333334E-2</v>
      </c>
      <c r="H79" s="87"/>
      <c r="I79" s="85"/>
      <c r="J79" s="85"/>
      <c r="K79" s="178"/>
      <c r="L79" s="85"/>
      <c r="M79" s="85"/>
      <c r="N79" s="79"/>
      <c r="O79" s="79"/>
      <c r="P79" s="85"/>
      <c r="Q79" s="85"/>
      <c r="R79" s="85"/>
      <c r="S79" s="85"/>
      <c r="T79" s="85"/>
      <c r="U79" s="85"/>
      <c r="V79" s="85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79"/>
      <c r="BD79" s="79"/>
      <c r="BE79" s="79"/>
      <c r="BF79" s="79"/>
      <c r="BG79" s="79"/>
      <c r="BH79" s="79"/>
      <c r="BI79" s="79"/>
      <c r="BJ79" s="79"/>
      <c r="BK79" s="79"/>
      <c r="BL79" s="79"/>
      <c r="BM79" s="79"/>
      <c r="BN79" s="79"/>
      <c r="BO79" s="79"/>
      <c r="BP79" s="79"/>
      <c r="BQ79" s="79"/>
      <c r="BR79" s="79"/>
      <c r="BS79" s="79"/>
      <c r="BT79" s="79"/>
      <c r="BU79" s="79"/>
      <c r="BV79" s="79"/>
      <c r="BW79" s="79"/>
      <c r="BX79" s="79"/>
      <c r="BY79" s="79"/>
      <c r="BZ79" s="79"/>
      <c r="CA79" s="79"/>
      <c r="CB79" s="79"/>
      <c r="CC79" s="79"/>
      <c r="CD79" s="79"/>
      <c r="CE79" s="79"/>
      <c r="CF79" s="79"/>
      <c r="CG79" s="79"/>
      <c r="CH79" s="79"/>
      <c r="CI79" s="79"/>
      <c r="CJ79" s="79"/>
      <c r="CK79" s="79"/>
      <c r="CL79" s="79"/>
      <c r="CM79" s="79"/>
      <c r="CN79" s="79"/>
      <c r="CO79" s="79"/>
      <c r="CP79" s="79"/>
      <c r="CQ79" s="79"/>
      <c r="CR79" s="79"/>
      <c r="CS79" s="79"/>
      <c r="CT79" s="79"/>
      <c r="CU79" s="79"/>
      <c r="CV79" s="79"/>
      <c r="CW79" s="79"/>
      <c r="CX79" s="79"/>
      <c r="CY79" s="79"/>
      <c r="CZ79" s="79"/>
      <c r="DA79" s="79"/>
      <c r="DB79" s="79"/>
      <c r="DC79" s="79"/>
      <c r="DD79" s="79"/>
      <c r="DE79" s="79"/>
      <c r="DF79" s="79"/>
      <c r="DG79" s="79"/>
      <c r="DH79" s="79"/>
      <c r="DI79" s="79"/>
      <c r="DJ79" s="79"/>
      <c r="DK79" s="79"/>
      <c r="DL79" s="79"/>
      <c r="DM79" s="79"/>
      <c r="DN79" s="79"/>
      <c r="DO79" s="79"/>
      <c r="DP79" s="79"/>
      <c r="DQ79" s="79"/>
      <c r="DR79" s="79"/>
      <c r="DS79" s="79"/>
    </row>
    <row r="80" spans="1:123" s="80" customFormat="1" ht="21.95" customHeight="1">
      <c r="A80" s="448" t="s">
        <v>499</v>
      </c>
      <c r="B80" s="3129">
        <f>'예산세출(백마)'!Q106</f>
        <v>3600000</v>
      </c>
      <c r="C80" s="3130">
        <f t="shared" si="5"/>
        <v>4.1323134630657843E-4</v>
      </c>
      <c r="D80" s="3129">
        <v>8000000</v>
      </c>
      <c r="E80" s="3133">
        <f t="shared" si="11"/>
        <v>7.8259822414767472E-4</v>
      </c>
      <c r="F80" s="3131">
        <f t="shared" si="35"/>
        <v>-4400000</v>
      </c>
      <c r="G80" s="3138">
        <f t="shared" si="36"/>
        <v>-0.55000000000000004</v>
      </c>
      <c r="H80" s="87"/>
      <c r="I80" s="85"/>
      <c r="J80" s="85"/>
      <c r="K80" s="85"/>
      <c r="L80" s="85"/>
      <c r="M80" s="85"/>
      <c r="N80" s="79"/>
      <c r="O80" s="79"/>
      <c r="P80" s="85"/>
      <c r="Q80" s="85"/>
      <c r="R80" s="85"/>
      <c r="S80" s="85"/>
      <c r="T80" s="85"/>
      <c r="U80" s="85"/>
      <c r="V80" s="85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  <c r="AL80" s="79"/>
      <c r="AM80" s="79"/>
      <c r="AN80" s="79"/>
      <c r="AO80" s="79"/>
      <c r="AP80" s="79"/>
      <c r="AQ80" s="79"/>
      <c r="AR80" s="79"/>
      <c r="AS80" s="79"/>
      <c r="AT80" s="79"/>
      <c r="AU80" s="79"/>
      <c r="AV80" s="79"/>
      <c r="AW80" s="79"/>
      <c r="AX80" s="79"/>
      <c r="AY80" s="79"/>
      <c r="AZ80" s="79"/>
      <c r="BA80" s="79"/>
      <c r="BB80" s="79"/>
      <c r="BC80" s="79"/>
      <c r="BD80" s="79"/>
      <c r="BE80" s="79"/>
      <c r="BF80" s="79"/>
      <c r="BG80" s="79"/>
      <c r="BH80" s="79"/>
      <c r="BI80" s="79"/>
      <c r="BJ80" s="79"/>
      <c r="BK80" s="79"/>
      <c r="BL80" s="79"/>
      <c r="BM80" s="79"/>
      <c r="BN80" s="79"/>
      <c r="BO80" s="79"/>
      <c r="BP80" s="79"/>
      <c r="BQ80" s="79"/>
      <c r="BR80" s="79"/>
      <c r="BS80" s="79"/>
      <c r="BT80" s="79"/>
      <c r="BU80" s="79"/>
      <c r="BV80" s="79"/>
      <c r="BW80" s="79"/>
      <c r="BX80" s="79"/>
      <c r="BY80" s="79"/>
      <c r="BZ80" s="79"/>
      <c r="CA80" s="79"/>
      <c r="CB80" s="79"/>
      <c r="CC80" s="79"/>
      <c r="CD80" s="79"/>
      <c r="CE80" s="79"/>
      <c r="CF80" s="79"/>
      <c r="CG80" s="79"/>
      <c r="CH80" s="79"/>
      <c r="CI80" s="79"/>
      <c r="CJ80" s="79"/>
      <c r="CK80" s="79"/>
      <c r="CL80" s="79"/>
      <c r="CM80" s="79"/>
      <c r="CN80" s="79"/>
      <c r="CO80" s="79"/>
      <c r="CP80" s="79"/>
      <c r="CQ80" s="79"/>
      <c r="CR80" s="79"/>
      <c r="CS80" s="79"/>
      <c r="CT80" s="79"/>
      <c r="CU80" s="79"/>
      <c r="CV80" s="79"/>
      <c r="CW80" s="79"/>
      <c r="CX80" s="79"/>
      <c r="CY80" s="79"/>
      <c r="CZ80" s="79"/>
      <c r="DA80" s="79"/>
      <c r="DB80" s="79"/>
      <c r="DC80" s="79"/>
      <c r="DD80" s="79"/>
      <c r="DE80" s="79"/>
      <c r="DF80" s="79"/>
      <c r="DG80" s="79"/>
      <c r="DH80" s="79"/>
      <c r="DI80" s="79"/>
      <c r="DJ80" s="79"/>
      <c r="DK80" s="79"/>
      <c r="DL80" s="79"/>
      <c r="DM80" s="79"/>
      <c r="DN80" s="79"/>
      <c r="DO80" s="79"/>
      <c r="DP80" s="79"/>
      <c r="DQ80" s="79"/>
      <c r="DR80" s="79"/>
      <c r="DS80" s="79"/>
    </row>
    <row r="81" spans="1:123" s="80" customFormat="1" ht="21.95" customHeight="1">
      <c r="A81" s="278" t="s">
        <v>693</v>
      </c>
      <c r="B81" s="279">
        <f>SUM(B82:B92)</f>
        <v>326823000</v>
      </c>
      <c r="C81" s="280">
        <f t="shared" si="5"/>
        <v>3.7514863414987464E-2</v>
      </c>
      <c r="D81" s="279">
        <f>SUM(D82:D92)</f>
        <v>326603000</v>
      </c>
      <c r="E81" s="280">
        <f t="shared" si="11"/>
        <v>3.1949865975162875E-2</v>
      </c>
      <c r="F81" s="281">
        <f>SUM(F82:F92)</f>
        <v>220000</v>
      </c>
      <c r="G81" s="282">
        <f t="shared" si="36"/>
        <v>6.7360067115121414E-4</v>
      </c>
      <c r="H81" s="89"/>
      <c r="I81" s="85"/>
      <c r="J81" s="85"/>
      <c r="K81" s="85"/>
      <c r="L81" s="85"/>
      <c r="M81" s="85"/>
      <c r="N81" s="79"/>
      <c r="O81" s="79"/>
      <c r="P81" s="85"/>
      <c r="Q81" s="85"/>
      <c r="R81" s="85"/>
      <c r="S81" s="85"/>
      <c r="T81" s="85"/>
      <c r="U81" s="85"/>
      <c r="V81" s="85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79"/>
      <c r="AT81" s="79"/>
      <c r="AU81" s="79"/>
      <c r="AV81" s="79"/>
      <c r="AW81" s="79"/>
      <c r="AX81" s="79"/>
      <c r="AY81" s="79"/>
      <c r="AZ81" s="79"/>
      <c r="BA81" s="79"/>
      <c r="BB81" s="79"/>
      <c r="BC81" s="79"/>
      <c r="BD81" s="79"/>
      <c r="BE81" s="79"/>
      <c r="BF81" s="79"/>
      <c r="BG81" s="79"/>
      <c r="BH81" s="79"/>
      <c r="BI81" s="79"/>
      <c r="BJ81" s="79"/>
      <c r="BK81" s="79"/>
      <c r="BL81" s="79"/>
      <c r="BM81" s="79"/>
      <c r="BN81" s="79"/>
      <c r="BO81" s="79"/>
      <c r="BP81" s="79"/>
      <c r="BQ81" s="79"/>
      <c r="BR81" s="79"/>
      <c r="BS81" s="79"/>
      <c r="BT81" s="79"/>
      <c r="BU81" s="79"/>
      <c r="BV81" s="79"/>
      <c r="BW81" s="79"/>
      <c r="BX81" s="79"/>
      <c r="BY81" s="79"/>
      <c r="BZ81" s="79"/>
      <c r="CA81" s="79"/>
      <c r="CB81" s="79"/>
      <c r="CC81" s="79"/>
      <c r="CD81" s="79"/>
      <c r="CE81" s="79"/>
      <c r="CF81" s="79"/>
      <c r="CG81" s="79"/>
      <c r="CH81" s="79"/>
      <c r="CI81" s="79"/>
      <c r="CJ81" s="79"/>
      <c r="CK81" s="79"/>
      <c r="CL81" s="79"/>
      <c r="CM81" s="79"/>
      <c r="CN81" s="79"/>
      <c r="CO81" s="79"/>
      <c r="CP81" s="79"/>
      <c r="CQ81" s="79"/>
      <c r="CR81" s="79"/>
      <c r="CS81" s="79"/>
      <c r="CT81" s="79"/>
      <c r="CU81" s="79"/>
      <c r="CV81" s="79"/>
      <c r="CW81" s="79"/>
      <c r="CX81" s="79"/>
      <c r="CY81" s="79"/>
      <c r="CZ81" s="79"/>
      <c r="DA81" s="79"/>
      <c r="DB81" s="79"/>
      <c r="DC81" s="79"/>
      <c r="DD81" s="79"/>
      <c r="DE81" s="79"/>
      <c r="DF81" s="79"/>
      <c r="DG81" s="79"/>
      <c r="DH81" s="79"/>
      <c r="DI81" s="79"/>
      <c r="DJ81" s="79"/>
      <c r="DK81" s="79"/>
      <c r="DL81" s="79"/>
      <c r="DM81" s="79"/>
      <c r="DN81" s="79"/>
      <c r="DO81" s="79"/>
      <c r="DP81" s="79"/>
      <c r="DQ81" s="79"/>
      <c r="DR81" s="79"/>
      <c r="DS81" s="79"/>
    </row>
    <row r="82" spans="1:123" s="80" customFormat="1" ht="21.95" customHeight="1">
      <c r="A82" s="2983" t="s">
        <v>591</v>
      </c>
      <c r="B82" s="3159">
        <f>'예산세출(마두)'!Q217</f>
        <v>67498000</v>
      </c>
      <c r="C82" s="3160">
        <f t="shared" si="5"/>
        <v>7.7478581702781751E-3</v>
      </c>
      <c r="D82" s="3159">
        <f>'예산세출(마두)'!R217</f>
        <v>77437000</v>
      </c>
      <c r="E82" s="3161">
        <f t="shared" si="11"/>
        <v>7.575257335415436E-3</v>
      </c>
      <c r="F82" s="3162">
        <f t="shared" ref="F82:F92" si="40">+B82-D82</f>
        <v>-9939000</v>
      </c>
      <c r="G82" s="3163">
        <f t="shared" si="36"/>
        <v>-0.12834949701047302</v>
      </c>
      <c r="H82" s="87"/>
      <c r="I82" s="85"/>
      <c r="J82" s="85"/>
      <c r="K82" s="85"/>
      <c r="L82" s="85"/>
      <c r="M82" s="85"/>
      <c r="N82" s="79"/>
      <c r="O82" s="79"/>
      <c r="P82" s="85"/>
      <c r="Q82" s="85"/>
      <c r="R82" s="85"/>
      <c r="S82" s="85"/>
      <c r="T82" s="85"/>
      <c r="U82" s="85"/>
      <c r="V82" s="85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/>
      <c r="BE82" s="79"/>
      <c r="BF82" s="79"/>
      <c r="BG82" s="79"/>
      <c r="BH82" s="79"/>
      <c r="BI82" s="79"/>
      <c r="BJ82" s="79"/>
      <c r="BK82" s="79"/>
      <c r="BL82" s="79"/>
      <c r="BM82" s="79"/>
      <c r="BN82" s="79"/>
      <c r="BO82" s="79"/>
      <c r="BP82" s="79"/>
      <c r="BQ82" s="79"/>
      <c r="BR82" s="79"/>
      <c r="BS82" s="79"/>
      <c r="BT82" s="79"/>
      <c r="BU82" s="79"/>
      <c r="BV82" s="79"/>
      <c r="BW82" s="79"/>
      <c r="BX82" s="79"/>
      <c r="BY82" s="79"/>
      <c r="BZ82" s="79"/>
      <c r="CA82" s="79"/>
      <c r="CB82" s="79"/>
      <c r="CC82" s="79"/>
      <c r="CD82" s="79"/>
      <c r="CE82" s="79"/>
      <c r="CF82" s="79"/>
      <c r="CG82" s="79"/>
      <c r="CH82" s="79"/>
      <c r="CI82" s="79"/>
      <c r="CJ82" s="79"/>
      <c r="CK82" s="79"/>
      <c r="CL82" s="79"/>
      <c r="CM82" s="79"/>
      <c r="CN82" s="79"/>
      <c r="CO82" s="79"/>
      <c r="CP82" s="79"/>
      <c r="CQ82" s="79"/>
      <c r="CR82" s="79"/>
      <c r="CS82" s="79"/>
      <c r="CT82" s="79"/>
      <c r="CU82" s="79"/>
      <c r="CV82" s="79"/>
      <c r="CW82" s="79"/>
      <c r="CX82" s="79"/>
      <c r="CY82" s="79"/>
      <c r="CZ82" s="79"/>
      <c r="DA82" s="79"/>
      <c r="DB82" s="79"/>
      <c r="DC82" s="79"/>
      <c r="DD82" s="79"/>
      <c r="DE82" s="79"/>
      <c r="DF82" s="79"/>
      <c r="DG82" s="79"/>
      <c r="DH82" s="79"/>
      <c r="DI82" s="79"/>
      <c r="DJ82" s="79"/>
      <c r="DK82" s="79"/>
      <c r="DL82" s="79"/>
      <c r="DM82" s="79"/>
      <c r="DN82" s="79"/>
      <c r="DO82" s="79"/>
      <c r="DP82" s="79"/>
      <c r="DQ82" s="79"/>
      <c r="DR82" s="79"/>
      <c r="DS82" s="79"/>
    </row>
    <row r="83" spans="1:123" s="80" customFormat="1" ht="21.95" customHeight="1">
      <c r="A83" s="448" t="s">
        <v>578</v>
      </c>
      <c r="B83" s="3129">
        <v>0</v>
      </c>
      <c r="C83" s="3130">
        <f t="shared" si="5"/>
        <v>0</v>
      </c>
      <c r="D83" s="3129">
        <f>'예산세출(진로)'!R103</f>
        <v>1316000</v>
      </c>
      <c r="E83" s="3130">
        <f t="shared" si="11"/>
        <v>1.287374078722925E-4</v>
      </c>
      <c r="F83" s="3131">
        <f t="shared" si="40"/>
        <v>-1316000</v>
      </c>
      <c r="G83" s="3132">
        <f t="shared" si="36"/>
        <v>-1</v>
      </c>
      <c r="H83" s="87"/>
      <c r="I83" s="85"/>
      <c r="J83" s="85"/>
      <c r="K83" s="85"/>
      <c r="L83" s="85"/>
      <c r="M83" s="85"/>
      <c r="N83" s="79"/>
      <c r="O83" s="79"/>
      <c r="P83" s="85"/>
      <c r="Q83" s="85"/>
      <c r="R83" s="85"/>
      <c r="S83" s="85"/>
      <c r="T83" s="85"/>
      <c r="U83" s="85"/>
      <c r="V83" s="85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79"/>
      <c r="BI83" s="79"/>
      <c r="BJ83" s="79"/>
      <c r="BK83" s="79"/>
      <c r="BL83" s="79"/>
      <c r="BM83" s="79"/>
      <c r="BN83" s="79"/>
      <c r="BO83" s="79"/>
      <c r="BP83" s="79"/>
      <c r="BQ83" s="79"/>
      <c r="BR83" s="79"/>
      <c r="BS83" s="79"/>
      <c r="BT83" s="79"/>
      <c r="BU83" s="79"/>
      <c r="BV83" s="79"/>
      <c r="BW83" s="79"/>
      <c r="BX83" s="79"/>
      <c r="BY83" s="79"/>
      <c r="BZ83" s="79"/>
      <c r="CA83" s="79"/>
      <c r="CB83" s="79"/>
      <c r="CC83" s="79"/>
      <c r="CD83" s="79"/>
      <c r="CE83" s="79"/>
      <c r="CF83" s="79"/>
      <c r="CG83" s="79"/>
      <c r="CH83" s="79"/>
      <c r="CI83" s="79"/>
      <c r="CJ83" s="79"/>
      <c r="CK83" s="79"/>
      <c r="CL83" s="79"/>
      <c r="CM83" s="79"/>
      <c r="CN83" s="79"/>
      <c r="CO83" s="79"/>
      <c r="CP83" s="79"/>
      <c r="CQ83" s="79"/>
      <c r="CR83" s="79"/>
      <c r="CS83" s="79"/>
      <c r="CT83" s="79"/>
      <c r="CU83" s="79"/>
      <c r="CV83" s="79"/>
      <c r="CW83" s="79"/>
      <c r="CX83" s="79"/>
      <c r="CY83" s="79"/>
      <c r="CZ83" s="79"/>
      <c r="DA83" s="79"/>
      <c r="DB83" s="79"/>
      <c r="DC83" s="79"/>
      <c r="DD83" s="79"/>
      <c r="DE83" s="79"/>
      <c r="DF83" s="79"/>
      <c r="DG83" s="79"/>
      <c r="DH83" s="79"/>
      <c r="DI83" s="79"/>
      <c r="DJ83" s="79"/>
      <c r="DK83" s="79"/>
      <c r="DL83" s="79"/>
      <c r="DM83" s="79"/>
      <c r="DN83" s="79"/>
      <c r="DO83" s="79"/>
      <c r="DP83" s="79"/>
      <c r="DQ83" s="79"/>
      <c r="DR83" s="79"/>
      <c r="DS83" s="79"/>
    </row>
    <row r="84" spans="1:123" s="80" customFormat="1" ht="21.95" customHeight="1">
      <c r="A84" s="453" t="s">
        <v>592</v>
      </c>
      <c r="B84" s="3136">
        <f>'예산세출(성사)'!Q241</f>
        <v>5802000</v>
      </c>
      <c r="C84" s="3133">
        <f t="shared" si="5"/>
        <v>6.6599118646410219E-4</v>
      </c>
      <c r="D84" s="3136">
        <v>16790000</v>
      </c>
      <c r="E84" s="3133">
        <f t="shared" si="11"/>
        <v>1.6424780229299324E-3</v>
      </c>
      <c r="F84" s="3137">
        <f>+B84-D84</f>
        <v>-10988000</v>
      </c>
      <c r="G84" s="3138">
        <f t="shared" si="36"/>
        <v>-0.65443716497915427</v>
      </c>
      <c r="H84" s="87"/>
      <c r="I84" s="85"/>
      <c r="J84" s="85"/>
      <c r="K84" s="85"/>
      <c r="L84" s="85"/>
      <c r="M84" s="85"/>
      <c r="N84" s="79"/>
      <c r="O84" s="79"/>
      <c r="P84" s="85"/>
      <c r="Q84" s="85"/>
      <c r="R84" s="85"/>
      <c r="S84" s="85"/>
      <c r="T84" s="85"/>
      <c r="U84" s="85"/>
      <c r="V84" s="85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79"/>
      <c r="AU84" s="79"/>
      <c r="AV84" s="79"/>
      <c r="AW84" s="79"/>
      <c r="AX84" s="79"/>
      <c r="AY84" s="79"/>
      <c r="AZ84" s="79"/>
      <c r="BA84" s="79"/>
      <c r="BB84" s="79"/>
      <c r="BC84" s="79"/>
      <c r="BD84" s="79"/>
      <c r="BE84" s="79"/>
      <c r="BF84" s="79"/>
      <c r="BG84" s="79"/>
      <c r="BH84" s="79"/>
      <c r="BI84" s="79"/>
      <c r="BJ84" s="79"/>
      <c r="BK84" s="79"/>
      <c r="BL84" s="79"/>
      <c r="BM84" s="79"/>
      <c r="BN84" s="79"/>
      <c r="BO84" s="79"/>
      <c r="BP84" s="79"/>
      <c r="BQ84" s="79"/>
      <c r="BR84" s="79"/>
      <c r="BS84" s="79"/>
      <c r="BT84" s="79"/>
      <c r="BU84" s="79"/>
      <c r="BV84" s="79"/>
      <c r="BW84" s="79"/>
      <c r="BX84" s="79"/>
      <c r="BY84" s="79"/>
      <c r="BZ84" s="79"/>
      <c r="CA84" s="79"/>
      <c r="CB84" s="79"/>
      <c r="CC84" s="79"/>
      <c r="CD84" s="79"/>
      <c r="CE84" s="79"/>
      <c r="CF84" s="79"/>
      <c r="CG84" s="79"/>
      <c r="CH84" s="79"/>
      <c r="CI84" s="79"/>
      <c r="CJ84" s="79"/>
      <c r="CK84" s="79"/>
      <c r="CL84" s="79"/>
      <c r="CM84" s="79"/>
      <c r="CN84" s="79"/>
      <c r="CO84" s="79"/>
      <c r="CP84" s="79"/>
      <c r="CQ84" s="79"/>
      <c r="CR84" s="79"/>
      <c r="CS84" s="79"/>
      <c r="CT84" s="79"/>
      <c r="CU84" s="79"/>
      <c r="CV84" s="79"/>
      <c r="CW84" s="79"/>
      <c r="CX84" s="79"/>
      <c r="CY84" s="79"/>
      <c r="CZ84" s="79"/>
      <c r="DA84" s="79"/>
      <c r="DB84" s="79"/>
      <c r="DC84" s="79"/>
      <c r="DD84" s="79"/>
      <c r="DE84" s="79"/>
      <c r="DF84" s="79"/>
      <c r="DG84" s="79"/>
      <c r="DH84" s="79"/>
      <c r="DI84" s="79"/>
      <c r="DJ84" s="79"/>
      <c r="DK84" s="79"/>
      <c r="DL84" s="79"/>
      <c r="DM84" s="79"/>
      <c r="DN84" s="79"/>
      <c r="DO84" s="79"/>
      <c r="DP84" s="79"/>
      <c r="DQ84" s="79"/>
      <c r="DR84" s="79"/>
      <c r="DS84" s="79"/>
    </row>
    <row r="85" spans="1:123" s="80" customFormat="1" ht="21.95" customHeight="1">
      <c r="A85" s="439" t="s">
        <v>312</v>
      </c>
      <c r="B85" s="3136">
        <f>'예산세출(탄현)'!Q103</f>
        <v>30496000</v>
      </c>
      <c r="C85" s="3133">
        <f t="shared" si="5"/>
        <v>3.5005286491570599E-3</v>
      </c>
      <c r="D85" s="3136">
        <f>'예산세출(탄현)'!R103</f>
        <v>34760000</v>
      </c>
      <c r="E85" s="3133">
        <f t="shared" si="11"/>
        <v>3.4003892839216468E-3</v>
      </c>
      <c r="F85" s="3137">
        <f t="shared" si="40"/>
        <v>-4264000</v>
      </c>
      <c r="G85" s="3138">
        <f t="shared" si="36"/>
        <v>-0.12266973532796317</v>
      </c>
      <c r="H85" s="87"/>
      <c r="I85" s="85"/>
      <c r="J85" s="85"/>
      <c r="K85" s="85"/>
      <c r="L85" s="85"/>
      <c r="M85" s="85"/>
      <c r="N85" s="79"/>
      <c r="O85" s="79"/>
      <c r="P85" s="85"/>
      <c r="Q85" s="85"/>
      <c r="R85" s="85"/>
      <c r="S85" s="85"/>
      <c r="T85" s="85"/>
      <c r="U85" s="85"/>
      <c r="V85" s="85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79"/>
      <c r="AU85" s="79"/>
      <c r="AV85" s="79"/>
      <c r="AW85" s="79"/>
      <c r="AX85" s="79"/>
      <c r="AY85" s="79"/>
      <c r="AZ85" s="79"/>
      <c r="BA85" s="79"/>
      <c r="BB85" s="79"/>
      <c r="BC85" s="79"/>
      <c r="BD85" s="79"/>
      <c r="BE85" s="79"/>
      <c r="BF85" s="79"/>
      <c r="BG85" s="79"/>
      <c r="BH85" s="79"/>
      <c r="BI85" s="79"/>
      <c r="BJ85" s="79"/>
      <c r="BK85" s="79"/>
      <c r="BL85" s="79"/>
      <c r="BM85" s="79"/>
      <c r="BN85" s="79"/>
      <c r="BO85" s="79"/>
      <c r="BP85" s="79"/>
      <c r="BQ85" s="79"/>
      <c r="BR85" s="79"/>
      <c r="BS85" s="79"/>
      <c r="BT85" s="79"/>
      <c r="BU85" s="79"/>
      <c r="BV85" s="79"/>
      <c r="BW85" s="79"/>
      <c r="BX85" s="79"/>
      <c r="BY85" s="79"/>
      <c r="BZ85" s="79"/>
      <c r="CA85" s="79"/>
      <c r="CB85" s="79"/>
      <c r="CC85" s="79"/>
      <c r="CD85" s="79"/>
      <c r="CE85" s="79"/>
      <c r="CF85" s="79"/>
      <c r="CG85" s="79"/>
      <c r="CH85" s="79"/>
      <c r="CI85" s="79"/>
      <c r="CJ85" s="79"/>
      <c r="CK85" s="79"/>
      <c r="CL85" s="79"/>
      <c r="CM85" s="79"/>
      <c r="CN85" s="79"/>
      <c r="CO85" s="79"/>
      <c r="CP85" s="79"/>
      <c r="CQ85" s="79"/>
      <c r="CR85" s="79"/>
      <c r="CS85" s="79"/>
      <c r="CT85" s="79"/>
      <c r="CU85" s="79"/>
      <c r="CV85" s="79"/>
      <c r="CW85" s="79"/>
      <c r="CX85" s="79"/>
      <c r="CY85" s="79"/>
      <c r="CZ85" s="79"/>
      <c r="DA85" s="79"/>
      <c r="DB85" s="79"/>
      <c r="DC85" s="79"/>
      <c r="DD85" s="79"/>
      <c r="DE85" s="79"/>
      <c r="DF85" s="79"/>
      <c r="DG85" s="79"/>
      <c r="DH85" s="79"/>
      <c r="DI85" s="79"/>
      <c r="DJ85" s="79"/>
      <c r="DK85" s="79"/>
      <c r="DL85" s="79"/>
      <c r="DM85" s="79"/>
      <c r="DN85" s="79"/>
      <c r="DO85" s="79"/>
      <c r="DP85" s="79"/>
      <c r="DQ85" s="79"/>
      <c r="DR85" s="79"/>
      <c r="DS85" s="79"/>
    </row>
    <row r="86" spans="1:123" s="80" customFormat="1" ht="21.95" customHeight="1">
      <c r="A86" s="448" t="s">
        <v>589</v>
      </c>
      <c r="B86" s="3129">
        <v>0</v>
      </c>
      <c r="C86" s="3130">
        <f t="shared" si="5"/>
        <v>0</v>
      </c>
      <c r="D86" s="3129">
        <f>'예산세출(주교)'!R77</f>
        <v>1560000</v>
      </c>
      <c r="E86" s="3133">
        <f t="shared" si="11"/>
        <v>1.5260665370879658E-4</v>
      </c>
      <c r="F86" s="3131">
        <f t="shared" si="40"/>
        <v>-1560000</v>
      </c>
      <c r="G86" s="3138">
        <f t="shared" si="36"/>
        <v>-1</v>
      </c>
      <c r="H86" s="87"/>
      <c r="I86" s="85"/>
      <c r="J86" s="85"/>
      <c r="K86" s="85"/>
      <c r="L86" s="85"/>
      <c r="M86" s="85"/>
      <c r="N86" s="79"/>
      <c r="O86" s="79"/>
      <c r="P86" s="85"/>
      <c r="Q86" s="85"/>
      <c r="R86" s="85"/>
      <c r="S86" s="85"/>
      <c r="T86" s="85"/>
      <c r="U86" s="85"/>
      <c r="V86" s="85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79"/>
      <c r="AU86" s="79"/>
      <c r="AV86" s="79"/>
      <c r="AW86" s="79"/>
      <c r="AX86" s="79"/>
      <c r="AY86" s="79"/>
      <c r="AZ86" s="79"/>
      <c r="BA86" s="79"/>
      <c r="BB86" s="79"/>
      <c r="BC86" s="79"/>
      <c r="BD86" s="79"/>
      <c r="BE86" s="79"/>
      <c r="BF86" s="79"/>
      <c r="BG86" s="79"/>
      <c r="BH86" s="79"/>
      <c r="BI86" s="79"/>
      <c r="BJ86" s="79"/>
      <c r="BK86" s="79"/>
      <c r="BL86" s="79"/>
      <c r="BM86" s="79"/>
      <c r="BN86" s="79"/>
      <c r="BO86" s="79"/>
      <c r="BP86" s="79"/>
      <c r="BQ86" s="79"/>
      <c r="BR86" s="79"/>
      <c r="BS86" s="79"/>
      <c r="BT86" s="79"/>
      <c r="BU86" s="79"/>
      <c r="BV86" s="79"/>
      <c r="BW86" s="79"/>
      <c r="BX86" s="79"/>
      <c r="BY86" s="79"/>
      <c r="BZ86" s="79"/>
      <c r="CA86" s="79"/>
      <c r="CB86" s="79"/>
      <c r="CC86" s="79"/>
      <c r="CD86" s="79"/>
      <c r="CE86" s="79"/>
      <c r="CF86" s="79"/>
      <c r="CG86" s="79"/>
      <c r="CH86" s="79"/>
      <c r="CI86" s="79"/>
      <c r="CJ86" s="79"/>
      <c r="CK86" s="79"/>
      <c r="CL86" s="79"/>
      <c r="CM86" s="79"/>
      <c r="CN86" s="79"/>
      <c r="CO86" s="79"/>
      <c r="CP86" s="79"/>
      <c r="CQ86" s="79"/>
      <c r="CR86" s="79"/>
      <c r="CS86" s="79"/>
      <c r="CT86" s="79"/>
      <c r="CU86" s="79"/>
      <c r="CV86" s="79"/>
      <c r="CW86" s="79"/>
      <c r="CX86" s="79"/>
      <c r="CY86" s="79"/>
      <c r="CZ86" s="79"/>
      <c r="DA86" s="79"/>
      <c r="DB86" s="79"/>
      <c r="DC86" s="79"/>
      <c r="DD86" s="79"/>
      <c r="DE86" s="79"/>
      <c r="DF86" s="79"/>
      <c r="DG86" s="79"/>
      <c r="DH86" s="79"/>
      <c r="DI86" s="79"/>
      <c r="DJ86" s="79"/>
      <c r="DK86" s="79"/>
      <c r="DL86" s="79"/>
      <c r="DM86" s="79"/>
      <c r="DN86" s="79"/>
      <c r="DO86" s="79"/>
      <c r="DP86" s="79"/>
      <c r="DQ86" s="79"/>
      <c r="DR86" s="79"/>
      <c r="DS86" s="79"/>
    </row>
    <row r="87" spans="1:123" s="80" customFormat="1" ht="21.95" customHeight="1">
      <c r="A87" s="439" t="s">
        <v>622</v>
      </c>
      <c r="B87" s="3129">
        <f>'예산세출(일산서구)'!Q262</f>
        <v>66588000</v>
      </c>
      <c r="C87" s="3130">
        <f t="shared" si="5"/>
        <v>7.6434024688506784E-3</v>
      </c>
      <c r="D87" s="3129">
        <f>'예산세출(일산서구)'!R262</f>
        <v>15256000</v>
      </c>
      <c r="E87" s="3130">
        <f t="shared" si="11"/>
        <v>1.4924148134496157E-3</v>
      </c>
      <c r="F87" s="3131">
        <f t="shared" si="40"/>
        <v>51332000</v>
      </c>
      <c r="G87" s="3132">
        <f t="shared" si="36"/>
        <v>3.3647089669638177</v>
      </c>
      <c r="H87" s="87"/>
      <c r="I87" s="85"/>
      <c r="J87" s="85"/>
      <c r="K87" s="85"/>
      <c r="L87" s="85"/>
      <c r="M87" s="85"/>
      <c r="N87" s="79"/>
      <c r="O87" s="79"/>
      <c r="P87" s="85"/>
      <c r="Q87" s="85"/>
      <c r="R87" s="85"/>
      <c r="S87" s="85"/>
      <c r="T87" s="85"/>
      <c r="U87" s="85"/>
      <c r="V87" s="85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79"/>
      <c r="AU87" s="79"/>
      <c r="AV87" s="79"/>
      <c r="AW87" s="79"/>
      <c r="AX87" s="79"/>
      <c r="AY87" s="79"/>
      <c r="AZ87" s="79"/>
      <c r="BA87" s="79"/>
      <c r="BB87" s="79"/>
      <c r="BC87" s="79"/>
      <c r="BD87" s="79"/>
      <c r="BE87" s="79"/>
      <c r="BF87" s="79"/>
      <c r="BG87" s="79"/>
      <c r="BH87" s="79"/>
      <c r="BI87" s="79"/>
      <c r="BJ87" s="79"/>
      <c r="BK87" s="79"/>
      <c r="BL87" s="79"/>
      <c r="BM87" s="79"/>
      <c r="BN87" s="79"/>
      <c r="BO87" s="79"/>
      <c r="BP87" s="79"/>
      <c r="BQ87" s="79"/>
      <c r="BR87" s="79"/>
      <c r="BS87" s="79"/>
      <c r="BT87" s="79"/>
      <c r="BU87" s="79"/>
      <c r="BV87" s="79"/>
      <c r="BW87" s="79"/>
      <c r="BX87" s="79"/>
      <c r="BY87" s="79"/>
      <c r="BZ87" s="79"/>
      <c r="CA87" s="79"/>
      <c r="CB87" s="79"/>
      <c r="CC87" s="79"/>
      <c r="CD87" s="79"/>
      <c r="CE87" s="79"/>
      <c r="CF87" s="79"/>
      <c r="CG87" s="79"/>
      <c r="CH87" s="79"/>
      <c r="CI87" s="79"/>
      <c r="CJ87" s="79"/>
      <c r="CK87" s="79"/>
      <c r="CL87" s="79"/>
      <c r="CM87" s="79"/>
      <c r="CN87" s="79"/>
      <c r="CO87" s="79"/>
      <c r="CP87" s="79"/>
      <c r="CQ87" s="79"/>
      <c r="CR87" s="79"/>
      <c r="CS87" s="79"/>
      <c r="CT87" s="79"/>
      <c r="CU87" s="79"/>
      <c r="CV87" s="79"/>
      <c r="CW87" s="79"/>
      <c r="CX87" s="79"/>
      <c r="CY87" s="79"/>
      <c r="CZ87" s="79"/>
      <c r="DA87" s="79"/>
      <c r="DB87" s="79"/>
      <c r="DC87" s="79"/>
      <c r="DD87" s="79"/>
      <c r="DE87" s="79"/>
      <c r="DF87" s="79"/>
      <c r="DG87" s="79"/>
      <c r="DH87" s="79"/>
      <c r="DI87" s="79"/>
      <c r="DJ87" s="79"/>
      <c r="DK87" s="79"/>
      <c r="DL87" s="79"/>
      <c r="DM87" s="79"/>
      <c r="DN87" s="79"/>
      <c r="DO87" s="79"/>
      <c r="DP87" s="79"/>
      <c r="DQ87" s="79"/>
      <c r="DR87" s="79"/>
      <c r="DS87" s="79"/>
    </row>
    <row r="88" spans="1:123" s="80" customFormat="1" ht="21.95" customHeight="1">
      <c r="A88" s="448" t="s">
        <v>593</v>
      </c>
      <c r="B88" s="3129">
        <f>'예산세출(토당)'!Q120</f>
        <v>153664000</v>
      </c>
      <c r="C88" s="3130">
        <f t="shared" si="5"/>
        <v>1.7638550444126128E-2</v>
      </c>
      <c r="D88" s="3129">
        <f>'예산세출(토당)'!R120</f>
        <v>167944000</v>
      </c>
      <c r="E88" s="3133">
        <f t="shared" si="11"/>
        <v>1.6429084519532136E-2</v>
      </c>
      <c r="F88" s="3131">
        <f t="shared" si="40"/>
        <v>-14280000</v>
      </c>
      <c r="G88" s="3138">
        <f t="shared" si="36"/>
        <v>-8.5028342780926969E-2</v>
      </c>
      <c r="H88" s="87"/>
      <c r="I88" s="85"/>
      <c r="J88" s="85"/>
      <c r="K88" s="85"/>
      <c r="L88" s="85"/>
      <c r="M88" s="85"/>
      <c r="N88" s="79"/>
      <c r="O88" s="79"/>
      <c r="P88" s="85"/>
      <c r="Q88" s="85"/>
      <c r="R88" s="85"/>
      <c r="S88" s="85"/>
      <c r="T88" s="85"/>
      <c r="U88" s="85"/>
      <c r="V88" s="85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79"/>
      <c r="AO88" s="79"/>
      <c r="AP88" s="79"/>
      <c r="AQ88" s="79"/>
      <c r="AR88" s="79"/>
      <c r="AS88" s="79"/>
      <c r="AT88" s="79"/>
      <c r="AU88" s="79"/>
      <c r="AV88" s="79"/>
      <c r="AW88" s="79"/>
      <c r="AX88" s="79"/>
      <c r="AY88" s="79"/>
      <c r="AZ88" s="79"/>
      <c r="BA88" s="79"/>
      <c r="BB88" s="79"/>
      <c r="BC88" s="79"/>
      <c r="BD88" s="79"/>
      <c r="BE88" s="79"/>
      <c r="BF88" s="79"/>
      <c r="BG88" s="79"/>
      <c r="BH88" s="79"/>
      <c r="BI88" s="79"/>
      <c r="BJ88" s="79"/>
      <c r="BK88" s="79"/>
      <c r="BL88" s="79"/>
      <c r="BM88" s="79"/>
      <c r="BN88" s="79"/>
      <c r="BO88" s="79"/>
      <c r="BP88" s="79"/>
      <c r="BQ88" s="79"/>
      <c r="BR88" s="79"/>
      <c r="BS88" s="79"/>
      <c r="BT88" s="79"/>
      <c r="BU88" s="79"/>
      <c r="BV88" s="79"/>
      <c r="BW88" s="79"/>
      <c r="BX88" s="79"/>
      <c r="BY88" s="79"/>
      <c r="BZ88" s="79"/>
      <c r="CA88" s="79"/>
      <c r="CB88" s="79"/>
      <c r="CC88" s="79"/>
      <c r="CD88" s="79"/>
      <c r="CE88" s="79"/>
      <c r="CF88" s="79"/>
      <c r="CG88" s="79"/>
      <c r="CH88" s="79"/>
      <c r="CI88" s="79"/>
      <c r="CJ88" s="79"/>
      <c r="CK88" s="79"/>
      <c r="CL88" s="79"/>
      <c r="CM88" s="79"/>
      <c r="CN88" s="79"/>
      <c r="CO88" s="79"/>
      <c r="CP88" s="79"/>
      <c r="CQ88" s="79"/>
      <c r="CR88" s="79"/>
      <c r="CS88" s="79"/>
      <c r="CT88" s="79"/>
      <c r="CU88" s="79"/>
      <c r="CV88" s="79"/>
      <c r="CW88" s="79"/>
      <c r="CX88" s="79"/>
      <c r="CY88" s="79"/>
      <c r="CZ88" s="79"/>
      <c r="DA88" s="79"/>
      <c r="DB88" s="79"/>
      <c r="DC88" s="79"/>
      <c r="DD88" s="79"/>
      <c r="DE88" s="79"/>
      <c r="DF88" s="79"/>
      <c r="DG88" s="79"/>
      <c r="DH88" s="79"/>
      <c r="DI88" s="79"/>
      <c r="DJ88" s="79"/>
      <c r="DK88" s="79"/>
      <c r="DL88" s="79"/>
      <c r="DM88" s="79"/>
      <c r="DN88" s="79"/>
      <c r="DO88" s="79"/>
      <c r="DP88" s="79"/>
      <c r="DQ88" s="79"/>
      <c r="DR88" s="79"/>
      <c r="DS88" s="79"/>
    </row>
    <row r="89" spans="1:123" s="80" customFormat="1" ht="21.95" customHeight="1">
      <c r="A89" s="439" t="s">
        <v>594</v>
      </c>
      <c r="B89" s="3129">
        <f>'예산세출(상담)'!Q174</f>
        <v>719000</v>
      </c>
      <c r="C89" s="3130">
        <f t="shared" ref="C89" si="41">+B89/$B$7</f>
        <v>8.2531482776230519E-5</v>
      </c>
      <c r="D89" s="3129">
        <v>0</v>
      </c>
      <c r="E89" s="3133">
        <f t="shared" ref="E89" si="42">+D89/$D$7</f>
        <v>0</v>
      </c>
      <c r="F89" s="3131">
        <f t="shared" ref="F89" si="43">+B89-D89</f>
        <v>719000</v>
      </c>
      <c r="G89" s="3138"/>
      <c r="H89" s="87"/>
      <c r="I89" s="85"/>
      <c r="J89" s="85"/>
      <c r="K89" s="85"/>
      <c r="L89" s="85"/>
      <c r="M89" s="85"/>
      <c r="N89" s="79"/>
      <c r="O89" s="79"/>
      <c r="P89" s="85"/>
      <c r="Q89" s="85"/>
      <c r="R89" s="85"/>
      <c r="S89" s="85"/>
      <c r="T89" s="85"/>
      <c r="U89" s="85"/>
      <c r="V89" s="85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79"/>
      <c r="AU89" s="79"/>
      <c r="AV89" s="79"/>
      <c r="AW89" s="79"/>
      <c r="AX89" s="79"/>
      <c r="AY89" s="79"/>
      <c r="AZ89" s="79"/>
      <c r="BA89" s="79"/>
      <c r="BB89" s="79"/>
      <c r="BC89" s="79"/>
      <c r="BD89" s="79"/>
      <c r="BE89" s="79"/>
      <c r="BF89" s="79"/>
      <c r="BG89" s="79"/>
      <c r="BH89" s="79"/>
      <c r="BI89" s="79"/>
      <c r="BJ89" s="79"/>
      <c r="BK89" s="79"/>
      <c r="BL89" s="79"/>
      <c r="BM89" s="79"/>
      <c r="BN89" s="79"/>
      <c r="BO89" s="79"/>
      <c r="BP89" s="79"/>
      <c r="BQ89" s="79"/>
      <c r="BR89" s="79"/>
      <c r="BS89" s="79"/>
      <c r="BT89" s="79"/>
      <c r="BU89" s="79"/>
      <c r="BV89" s="79"/>
      <c r="BW89" s="79"/>
      <c r="BX89" s="79"/>
      <c r="BY89" s="79"/>
      <c r="BZ89" s="79"/>
      <c r="CA89" s="79"/>
      <c r="CB89" s="79"/>
      <c r="CC89" s="79"/>
      <c r="CD89" s="79"/>
      <c r="CE89" s="79"/>
      <c r="CF89" s="79"/>
      <c r="CG89" s="79"/>
      <c r="CH89" s="79"/>
      <c r="CI89" s="79"/>
      <c r="CJ89" s="79"/>
      <c r="CK89" s="79"/>
      <c r="CL89" s="79"/>
      <c r="CM89" s="79"/>
      <c r="CN89" s="79"/>
      <c r="CO89" s="79"/>
      <c r="CP89" s="79"/>
      <c r="CQ89" s="79"/>
      <c r="CR89" s="79"/>
      <c r="CS89" s="79"/>
      <c r="CT89" s="79"/>
      <c r="CU89" s="79"/>
      <c r="CV89" s="79"/>
      <c r="CW89" s="79"/>
      <c r="CX89" s="79"/>
      <c r="CY89" s="79"/>
      <c r="CZ89" s="79"/>
      <c r="DA89" s="79"/>
      <c r="DB89" s="79"/>
      <c r="DC89" s="79"/>
      <c r="DD89" s="79"/>
      <c r="DE89" s="79"/>
      <c r="DF89" s="79"/>
      <c r="DG89" s="79"/>
      <c r="DH89" s="79"/>
      <c r="DI89" s="79"/>
      <c r="DJ89" s="79"/>
      <c r="DK89" s="79"/>
      <c r="DL89" s="79"/>
      <c r="DM89" s="79"/>
      <c r="DN89" s="79"/>
      <c r="DO89" s="79"/>
      <c r="DP89" s="79"/>
      <c r="DQ89" s="79"/>
      <c r="DR89" s="79"/>
      <c r="DS89" s="79"/>
    </row>
    <row r="90" spans="1:123" s="80" customFormat="1" ht="21.95" customHeight="1">
      <c r="A90" s="448" t="s">
        <v>590</v>
      </c>
      <c r="B90" s="3129">
        <f>'예산세출(화정)'!Q148</f>
        <v>2040000</v>
      </c>
      <c r="C90" s="3130">
        <f t="shared" si="5"/>
        <v>2.3416442957372775E-4</v>
      </c>
      <c r="D90" s="3129">
        <f>'예산세출(화정)'!R148</f>
        <v>2220000</v>
      </c>
      <c r="E90" s="3130">
        <f t="shared" si="11"/>
        <v>2.1717100720097975E-4</v>
      </c>
      <c r="F90" s="3131">
        <f t="shared" si="40"/>
        <v>-180000</v>
      </c>
      <c r="G90" s="3138">
        <f t="shared" si="36"/>
        <v>-8.1081081081081086E-2</v>
      </c>
      <c r="H90" s="87"/>
      <c r="I90" s="85"/>
      <c r="J90" s="85"/>
      <c r="K90" s="85"/>
      <c r="L90" s="85"/>
      <c r="M90" s="85"/>
      <c r="N90" s="79"/>
      <c r="O90" s="79"/>
      <c r="P90" s="85"/>
      <c r="Q90" s="85"/>
      <c r="R90" s="85"/>
      <c r="S90" s="85"/>
      <c r="T90" s="85"/>
      <c r="U90" s="85"/>
      <c r="V90" s="85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79"/>
      <c r="AU90" s="79"/>
      <c r="AV90" s="79"/>
      <c r="AW90" s="79"/>
      <c r="AX90" s="79"/>
      <c r="AY90" s="79"/>
      <c r="AZ90" s="79"/>
      <c r="BA90" s="79"/>
      <c r="BB90" s="79"/>
      <c r="BC90" s="79"/>
      <c r="BD90" s="79"/>
      <c r="BE90" s="79"/>
      <c r="BF90" s="79"/>
      <c r="BG90" s="79"/>
      <c r="BH90" s="79"/>
      <c r="BI90" s="79"/>
      <c r="BJ90" s="79"/>
      <c r="BK90" s="79"/>
      <c r="BL90" s="79"/>
      <c r="BM90" s="79"/>
      <c r="BN90" s="79"/>
      <c r="BO90" s="79"/>
      <c r="BP90" s="79"/>
      <c r="BQ90" s="79"/>
      <c r="BR90" s="79"/>
      <c r="BS90" s="79"/>
      <c r="BT90" s="79"/>
      <c r="BU90" s="79"/>
      <c r="BV90" s="79"/>
      <c r="BW90" s="79"/>
      <c r="BX90" s="79"/>
      <c r="BY90" s="79"/>
      <c r="BZ90" s="79"/>
      <c r="CA90" s="79"/>
      <c r="CB90" s="79"/>
      <c r="CC90" s="79"/>
      <c r="CD90" s="79"/>
      <c r="CE90" s="79"/>
      <c r="CF90" s="79"/>
      <c r="CG90" s="79"/>
      <c r="CH90" s="79"/>
      <c r="CI90" s="79"/>
      <c r="CJ90" s="79"/>
      <c r="CK90" s="79"/>
      <c r="CL90" s="79"/>
      <c r="CM90" s="79"/>
      <c r="CN90" s="79"/>
      <c r="CO90" s="79"/>
      <c r="CP90" s="79"/>
      <c r="CQ90" s="79"/>
      <c r="CR90" s="79"/>
      <c r="CS90" s="79"/>
      <c r="CT90" s="79"/>
      <c r="CU90" s="79"/>
      <c r="CV90" s="79"/>
      <c r="CW90" s="79"/>
      <c r="CX90" s="79"/>
      <c r="CY90" s="79"/>
      <c r="CZ90" s="79"/>
      <c r="DA90" s="79"/>
      <c r="DB90" s="79"/>
      <c r="DC90" s="79"/>
      <c r="DD90" s="79"/>
      <c r="DE90" s="79"/>
      <c r="DF90" s="79"/>
      <c r="DG90" s="79"/>
      <c r="DH90" s="79"/>
      <c r="DI90" s="79"/>
      <c r="DJ90" s="79"/>
      <c r="DK90" s="79"/>
      <c r="DL90" s="79"/>
      <c r="DM90" s="79"/>
      <c r="DN90" s="79"/>
      <c r="DO90" s="79"/>
      <c r="DP90" s="79"/>
      <c r="DQ90" s="79"/>
      <c r="DR90" s="79"/>
      <c r="DS90" s="79"/>
    </row>
    <row r="91" spans="1:123" s="80" customFormat="1" ht="21.95" customHeight="1">
      <c r="A91" s="448" t="s">
        <v>499</v>
      </c>
      <c r="B91" s="3129">
        <v>0</v>
      </c>
      <c r="C91" s="3130">
        <f t="shared" si="5"/>
        <v>0</v>
      </c>
      <c r="D91" s="3129">
        <v>8000000</v>
      </c>
      <c r="E91" s="3133">
        <f t="shared" si="11"/>
        <v>7.8259822414767472E-4</v>
      </c>
      <c r="F91" s="3131">
        <f t="shared" si="40"/>
        <v>-8000000</v>
      </c>
      <c r="G91" s="3138">
        <f t="shared" si="36"/>
        <v>-1</v>
      </c>
      <c r="H91" s="87"/>
      <c r="I91" s="85"/>
      <c r="J91" s="85"/>
      <c r="K91" s="85"/>
      <c r="L91" s="85"/>
      <c r="M91" s="85"/>
      <c r="N91" s="79"/>
      <c r="O91" s="79"/>
      <c r="P91" s="85"/>
      <c r="Q91" s="85"/>
      <c r="R91" s="85"/>
      <c r="S91" s="85"/>
      <c r="T91" s="85"/>
      <c r="U91" s="85"/>
      <c r="V91" s="85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79"/>
      <c r="AZ91" s="79"/>
      <c r="BA91" s="79"/>
      <c r="BB91" s="79"/>
      <c r="BC91" s="79"/>
      <c r="BD91" s="79"/>
      <c r="BE91" s="79"/>
      <c r="BF91" s="79"/>
      <c r="BG91" s="79"/>
      <c r="BH91" s="79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  <c r="BX91" s="79"/>
      <c r="BY91" s="79"/>
      <c r="BZ91" s="79"/>
      <c r="CA91" s="79"/>
      <c r="CB91" s="79"/>
      <c r="CC91" s="79"/>
      <c r="CD91" s="79"/>
      <c r="CE91" s="79"/>
      <c r="CF91" s="79"/>
      <c r="CG91" s="79"/>
      <c r="CH91" s="79"/>
      <c r="CI91" s="79"/>
      <c r="CJ91" s="79"/>
      <c r="CK91" s="79"/>
      <c r="CL91" s="79"/>
      <c r="CM91" s="79"/>
      <c r="CN91" s="79"/>
      <c r="CO91" s="79"/>
      <c r="CP91" s="79"/>
      <c r="CQ91" s="79"/>
      <c r="CR91" s="79"/>
      <c r="CS91" s="79"/>
      <c r="CT91" s="79"/>
      <c r="CU91" s="79"/>
      <c r="CV91" s="79"/>
      <c r="CW91" s="79"/>
      <c r="CX91" s="79"/>
      <c r="CY91" s="79"/>
      <c r="CZ91" s="79"/>
      <c r="DA91" s="79"/>
      <c r="DB91" s="79"/>
      <c r="DC91" s="79"/>
      <c r="DD91" s="79"/>
      <c r="DE91" s="79"/>
      <c r="DF91" s="79"/>
      <c r="DG91" s="79"/>
      <c r="DH91" s="79"/>
      <c r="DI91" s="79"/>
      <c r="DJ91" s="79"/>
      <c r="DK91" s="79"/>
      <c r="DL91" s="79"/>
      <c r="DM91" s="79"/>
      <c r="DN91" s="79"/>
      <c r="DO91" s="79"/>
      <c r="DP91" s="79"/>
      <c r="DQ91" s="79"/>
      <c r="DR91" s="79"/>
      <c r="DS91" s="79"/>
    </row>
    <row r="92" spans="1:123" s="80" customFormat="1" ht="21.95" customHeight="1">
      <c r="A92" s="456" t="s">
        <v>531</v>
      </c>
      <c r="B92" s="3143">
        <f>'예산세출(능곡)'!Q93</f>
        <v>16000</v>
      </c>
      <c r="C92" s="3130">
        <f t="shared" si="5"/>
        <v>1.8365837613625707E-6</v>
      </c>
      <c r="D92" s="3143">
        <f>'예산세출(능곡)'!R93</f>
        <v>1320000</v>
      </c>
      <c r="E92" s="3133">
        <f t="shared" si="11"/>
        <v>1.2912870698436634E-4</v>
      </c>
      <c r="F92" s="3131">
        <f t="shared" si="40"/>
        <v>-1304000</v>
      </c>
      <c r="G92" s="3138">
        <f t="shared" si="36"/>
        <v>-0.98787878787878791</v>
      </c>
      <c r="H92" s="87"/>
      <c r="I92" s="85"/>
      <c r="J92" s="85"/>
      <c r="K92" s="85"/>
      <c r="L92" s="85"/>
      <c r="M92" s="85"/>
      <c r="N92" s="79"/>
      <c r="O92" s="79"/>
      <c r="P92" s="85"/>
      <c r="Q92" s="85"/>
      <c r="R92" s="85"/>
      <c r="S92" s="85"/>
      <c r="T92" s="85"/>
      <c r="U92" s="85"/>
      <c r="V92" s="85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79"/>
      <c r="AU92" s="79"/>
      <c r="AV92" s="79"/>
      <c r="AW92" s="79"/>
      <c r="AX92" s="79"/>
      <c r="AY92" s="79"/>
      <c r="AZ92" s="79"/>
      <c r="BA92" s="79"/>
      <c r="BB92" s="79"/>
      <c r="BC92" s="79"/>
      <c r="BD92" s="79"/>
      <c r="BE92" s="79"/>
      <c r="BF92" s="79"/>
      <c r="BG92" s="79"/>
      <c r="BH92" s="79"/>
      <c r="BI92" s="79"/>
      <c r="BJ92" s="79"/>
      <c r="BK92" s="79"/>
      <c r="BL92" s="79"/>
      <c r="BM92" s="79"/>
      <c r="BN92" s="79"/>
      <c r="BO92" s="79"/>
      <c r="BP92" s="79"/>
      <c r="BQ92" s="79"/>
      <c r="BR92" s="79"/>
      <c r="BS92" s="79"/>
      <c r="BT92" s="79"/>
      <c r="BU92" s="79"/>
      <c r="BV92" s="79"/>
      <c r="BW92" s="79"/>
      <c r="BX92" s="79"/>
      <c r="BY92" s="79"/>
      <c r="BZ92" s="79"/>
      <c r="CA92" s="79"/>
      <c r="CB92" s="79"/>
      <c r="CC92" s="79"/>
      <c r="CD92" s="79"/>
      <c r="CE92" s="79"/>
      <c r="CF92" s="79"/>
      <c r="CG92" s="79"/>
      <c r="CH92" s="79"/>
      <c r="CI92" s="79"/>
      <c r="CJ92" s="79"/>
      <c r="CK92" s="79"/>
      <c r="CL92" s="79"/>
      <c r="CM92" s="79"/>
      <c r="CN92" s="79"/>
      <c r="CO92" s="79"/>
      <c r="CP92" s="79"/>
      <c r="CQ92" s="79"/>
      <c r="CR92" s="79"/>
      <c r="CS92" s="79"/>
      <c r="CT92" s="79"/>
      <c r="CU92" s="79"/>
      <c r="CV92" s="79"/>
      <c r="CW92" s="79"/>
      <c r="CX92" s="79"/>
      <c r="CY92" s="79"/>
      <c r="CZ92" s="79"/>
      <c r="DA92" s="79"/>
      <c r="DB92" s="79"/>
      <c r="DC92" s="79"/>
      <c r="DD92" s="79"/>
      <c r="DE92" s="79"/>
      <c r="DF92" s="79"/>
      <c r="DG92" s="79"/>
      <c r="DH92" s="79"/>
      <c r="DI92" s="79"/>
      <c r="DJ92" s="79"/>
      <c r="DK92" s="79"/>
      <c r="DL92" s="79"/>
      <c r="DM92" s="79"/>
      <c r="DN92" s="79"/>
      <c r="DO92" s="79"/>
      <c r="DP92" s="79"/>
      <c r="DQ92" s="79"/>
      <c r="DR92" s="79"/>
      <c r="DS92" s="79"/>
    </row>
    <row r="93" spans="1:123" s="80" customFormat="1" ht="21.95" customHeight="1">
      <c r="A93" s="278" t="s">
        <v>2043</v>
      </c>
      <c r="B93" s="279">
        <f>SUM(B94:B99)</f>
        <v>25360000</v>
      </c>
      <c r="C93" s="280">
        <f t="shared" ref="C93:C99" si="44">+B93/$B$7</f>
        <v>2.9109852617596743E-3</v>
      </c>
      <c r="D93" s="279">
        <f>SUM(D94:D99)</f>
        <v>34527000</v>
      </c>
      <c r="E93" s="280">
        <f t="shared" ref="E93:E99" si="45">+D93/$D$7</f>
        <v>3.3775961106433457E-3</v>
      </c>
      <c r="F93" s="281">
        <f>SUM(F94:F99)</f>
        <v>-9167000</v>
      </c>
      <c r="G93" s="282">
        <f t="shared" si="36"/>
        <v>-0.26550236047151504</v>
      </c>
      <c r="H93" s="89"/>
      <c r="I93" s="85"/>
      <c r="J93" s="85">
        <v>8799228000</v>
      </c>
      <c r="K93" s="85"/>
      <c r="L93" s="85"/>
      <c r="M93" s="85"/>
      <c r="N93" s="79"/>
      <c r="O93" s="79"/>
      <c r="P93" s="85"/>
      <c r="Q93" s="85"/>
      <c r="R93" s="85"/>
      <c r="S93" s="85"/>
      <c r="T93" s="85"/>
      <c r="U93" s="85"/>
      <c r="V93" s="85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79"/>
      <c r="BE93" s="79"/>
      <c r="BF93" s="79"/>
      <c r="BG93" s="79"/>
      <c r="BH93" s="79"/>
      <c r="BI93" s="79"/>
      <c r="BJ93" s="79"/>
      <c r="BK93" s="79"/>
      <c r="BL93" s="79"/>
      <c r="BM93" s="79"/>
      <c r="BN93" s="79"/>
      <c r="BO93" s="79"/>
      <c r="BP93" s="79"/>
      <c r="BQ93" s="79"/>
      <c r="BR93" s="79"/>
      <c r="BS93" s="79"/>
      <c r="BT93" s="79"/>
      <c r="BU93" s="79"/>
      <c r="BV93" s="79"/>
      <c r="BW93" s="79"/>
      <c r="BX93" s="79"/>
      <c r="BY93" s="79"/>
      <c r="BZ93" s="79"/>
      <c r="CA93" s="79"/>
      <c r="CB93" s="79"/>
      <c r="CC93" s="79"/>
      <c r="CD93" s="79"/>
      <c r="CE93" s="79"/>
      <c r="CF93" s="79"/>
      <c r="CG93" s="79"/>
      <c r="CH93" s="79"/>
      <c r="CI93" s="79"/>
      <c r="CJ93" s="79"/>
      <c r="CK93" s="79"/>
      <c r="CL93" s="79"/>
      <c r="CM93" s="79"/>
      <c r="CN93" s="79"/>
      <c r="CO93" s="79"/>
      <c r="CP93" s="79"/>
      <c r="CQ93" s="79"/>
      <c r="CR93" s="79"/>
      <c r="CS93" s="79"/>
      <c r="CT93" s="79"/>
      <c r="CU93" s="79"/>
      <c r="CV93" s="79"/>
      <c r="CW93" s="79"/>
      <c r="CX93" s="79"/>
      <c r="CY93" s="79"/>
      <c r="CZ93" s="79"/>
      <c r="DA93" s="79"/>
      <c r="DB93" s="79"/>
      <c r="DC93" s="79"/>
      <c r="DD93" s="79"/>
      <c r="DE93" s="79"/>
      <c r="DF93" s="79"/>
      <c r="DG93" s="79"/>
      <c r="DH93" s="79"/>
      <c r="DI93" s="79"/>
      <c r="DJ93" s="79"/>
      <c r="DK93" s="79"/>
      <c r="DL93" s="79"/>
      <c r="DM93" s="79"/>
      <c r="DN93" s="79"/>
      <c r="DO93" s="79"/>
      <c r="DP93" s="79"/>
      <c r="DQ93" s="79"/>
      <c r="DR93" s="79"/>
      <c r="DS93" s="79"/>
    </row>
    <row r="94" spans="1:123" s="80" customFormat="1" ht="21.95" customHeight="1">
      <c r="A94" s="454" t="s">
        <v>148</v>
      </c>
      <c r="B94" s="3139">
        <f>'예산세출(마두)'!Q263</f>
        <v>5000000</v>
      </c>
      <c r="C94" s="3140">
        <f t="shared" si="44"/>
        <v>5.7393242542580329E-4</v>
      </c>
      <c r="D94" s="3139">
        <f>'예산세출(마두)'!R263</f>
        <v>3200000</v>
      </c>
      <c r="E94" s="3140">
        <f t="shared" si="45"/>
        <v>3.1303928965906988E-4</v>
      </c>
      <c r="F94" s="3141">
        <f t="shared" ref="F94:F95" si="46">+B94-D94</f>
        <v>1800000</v>
      </c>
      <c r="G94" s="3142">
        <f t="shared" si="36"/>
        <v>0.5625</v>
      </c>
      <c r="H94" s="87"/>
      <c r="I94" s="85"/>
      <c r="J94" s="85">
        <f>B119</f>
        <v>2321000</v>
      </c>
      <c r="K94" s="85"/>
      <c r="L94" s="85"/>
      <c r="M94" s="85"/>
      <c r="N94" s="79"/>
      <c r="O94" s="79"/>
      <c r="P94" s="85"/>
      <c r="Q94" s="85"/>
      <c r="R94" s="85"/>
      <c r="S94" s="85"/>
      <c r="T94" s="85"/>
      <c r="U94" s="85"/>
      <c r="V94" s="85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9"/>
      <c r="AU94" s="79"/>
      <c r="AV94" s="79"/>
      <c r="AW94" s="79"/>
      <c r="AX94" s="79"/>
      <c r="AY94" s="79"/>
      <c r="AZ94" s="79"/>
      <c r="BA94" s="79"/>
      <c r="BB94" s="79"/>
      <c r="BC94" s="79"/>
      <c r="BD94" s="79"/>
      <c r="BE94" s="79"/>
      <c r="BF94" s="79"/>
      <c r="BG94" s="79"/>
      <c r="BH94" s="79"/>
      <c r="BI94" s="79"/>
      <c r="BJ94" s="79"/>
      <c r="BK94" s="79"/>
      <c r="BL94" s="79"/>
      <c r="BM94" s="79"/>
      <c r="BN94" s="79"/>
      <c r="BO94" s="79"/>
      <c r="BP94" s="79"/>
      <c r="BQ94" s="79"/>
      <c r="BR94" s="79"/>
      <c r="BS94" s="79"/>
      <c r="BT94" s="79"/>
      <c r="BU94" s="79"/>
      <c r="BV94" s="79"/>
      <c r="BW94" s="79"/>
      <c r="BX94" s="79"/>
      <c r="BY94" s="79"/>
      <c r="BZ94" s="79"/>
      <c r="CA94" s="79"/>
      <c r="CB94" s="79"/>
      <c r="CC94" s="79"/>
      <c r="CD94" s="79"/>
      <c r="CE94" s="79"/>
      <c r="CF94" s="79"/>
      <c r="CG94" s="79"/>
      <c r="CH94" s="79"/>
      <c r="CI94" s="79"/>
      <c r="CJ94" s="79"/>
      <c r="CK94" s="79"/>
      <c r="CL94" s="79"/>
      <c r="CM94" s="79"/>
      <c r="CN94" s="79"/>
      <c r="CO94" s="79"/>
      <c r="CP94" s="79"/>
      <c r="CQ94" s="79"/>
      <c r="CR94" s="79"/>
      <c r="CS94" s="79"/>
      <c r="CT94" s="79"/>
      <c r="CU94" s="79"/>
      <c r="CV94" s="79"/>
      <c r="CW94" s="79"/>
      <c r="CX94" s="79"/>
      <c r="CY94" s="79"/>
      <c r="CZ94" s="79"/>
      <c r="DA94" s="79"/>
      <c r="DB94" s="79"/>
      <c r="DC94" s="79"/>
      <c r="DD94" s="79"/>
      <c r="DE94" s="79"/>
      <c r="DF94" s="79"/>
      <c r="DG94" s="79"/>
      <c r="DH94" s="79"/>
      <c r="DI94" s="79"/>
      <c r="DJ94" s="79"/>
      <c r="DK94" s="79"/>
      <c r="DL94" s="79"/>
      <c r="DM94" s="79"/>
      <c r="DN94" s="79"/>
      <c r="DO94" s="79"/>
      <c r="DP94" s="79"/>
      <c r="DQ94" s="79"/>
      <c r="DR94" s="79"/>
      <c r="DS94" s="79"/>
    </row>
    <row r="95" spans="1:123" s="80" customFormat="1" ht="21.95" customHeight="1">
      <c r="A95" s="448" t="s">
        <v>580</v>
      </c>
      <c r="B95" s="3129">
        <f>'예산세출(성사)'!Q261</f>
        <v>5000000</v>
      </c>
      <c r="C95" s="3130"/>
      <c r="D95" s="3129">
        <v>0</v>
      </c>
      <c r="E95" s="3130"/>
      <c r="F95" s="3131">
        <f t="shared" si="46"/>
        <v>5000000</v>
      </c>
      <c r="G95" s="3132"/>
      <c r="H95" s="87"/>
      <c r="I95" s="85"/>
      <c r="J95" s="85"/>
      <c r="K95" s="85"/>
      <c r="L95" s="85"/>
      <c r="M95" s="85"/>
      <c r="N95" s="79"/>
      <c r="O95" s="79"/>
      <c r="P95" s="85"/>
      <c r="Q95" s="85"/>
      <c r="R95" s="85"/>
      <c r="S95" s="85"/>
      <c r="T95" s="85"/>
      <c r="U95" s="85"/>
      <c r="V95" s="85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9"/>
      <c r="AU95" s="79"/>
      <c r="AV95" s="79"/>
      <c r="AW95" s="79"/>
      <c r="AX95" s="79"/>
      <c r="AY95" s="79"/>
      <c r="AZ95" s="79"/>
      <c r="BA95" s="79"/>
      <c r="BB95" s="79"/>
      <c r="BC95" s="79"/>
      <c r="BD95" s="79"/>
      <c r="BE95" s="79"/>
      <c r="BF95" s="79"/>
      <c r="BG95" s="79"/>
      <c r="BH95" s="79"/>
      <c r="BI95" s="79"/>
      <c r="BJ95" s="79"/>
      <c r="BK95" s="79"/>
      <c r="BL95" s="79"/>
      <c r="BM95" s="79"/>
      <c r="BN95" s="79"/>
      <c r="BO95" s="79"/>
      <c r="BP95" s="79"/>
      <c r="BQ95" s="79"/>
      <c r="BR95" s="79"/>
      <c r="BS95" s="79"/>
      <c r="BT95" s="79"/>
      <c r="BU95" s="79"/>
      <c r="BV95" s="79"/>
      <c r="BW95" s="79"/>
      <c r="BX95" s="79"/>
      <c r="BY95" s="79"/>
      <c r="BZ95" s="79"/>
      <c r="CA95" s="79"/>
      <c r="CB95" s="79"/>
      <c r="CC95" s="79"/>
      <c r="CD95" s="79"/>
      <c r="CE95" s="79"/>
      <c r="CF95" s="79"/>
      <c r="CG95" s="79"/>
      <c r="CH95" s="79"/>
      <c r="CI95" s="79"/>
      <c r="CJ95" s="79"/>
      <c r="CK95" s="79"/>
      <c r="CL95" s="79"/>
      <c r="CM95" s="79"/>
      <c r="CN95" s="79"/>
      <c r="CO95" s="79"/>
      <c r="CP95" s="79"/>
      <c r="CQ95" s="79"/>
      <c r="CR95" s="79"/>
      <c r="CS95" s="79"/>
      <c r="CT95" s="79"/>
      <c r="CU95" s="79"/>
      <c r="CV95" s="79"/>
      <c r="CW95" s="79"/>
      <c r="CX95" s="79"/>
      <c r="CY95" s="79"/>
      <c r="CZ95" s="79"/>
      <c r="DA95" s="79"/>
      <c r="DB95" s="79"/>
      <c r="DC95" s="79"/>
      <c r="DD95" s="79"/>
      <c r="DE95" s="79"/>
      <c r="DF95" s="79"/>
      <c r="DG95" s="79"/>
      <c r="DH95" s="79"/>
      <c r="DI95" s="79"/>
      <c r="DJ95" s="79"/>
      <c r="DK95" s="79"/>
      <c r="DL95" s="79"/>
      <c r="DM95" s="79"/>
      <c r="DN95" s="79"/>
      <c r="DO95" s="79"/>
      <c r="DP95" s="79"/>
      <c r="DQ95" s="79"/>
      <c r="DR95" s="79"/>
      <c r="DS95" s="79"/>
    </row>
    <row r="96" spans="1:123" s="80" customFormat="1" ht="21.95" customHeight="1">
      <c r="A96" s="439" t="s">
        <v>303</v>
      </c>
      <c r="B96" s="3136">
        <f>'예산세출(탄현)'!Q161</f>
        <v>1700000</v>
      </c>
      <c r="C96" s="3133">
        <f t="shared" si="44"/>
        <v>1.9513702464477313E-4</v>
      </c>
      <c r="D96" s="3136">
        <f>'예산세출(탄현)'!R161</f>
        <v>2200000</v>
      </c>
      <c r="E96" s="3133">
        <f t="shared" si="45"/>
        <v>2.1521451164061055E-4</v>
      </c>
      <c r="F96" s="3137">
        <f t="shared" ref="F96:F99" si="47">+B96-D96</f>
        <v>-500000</v>
      </c>
      <c r="G96" s="3138">
        <f t="shared" si="36"/>
        <v>-0.22727272727272727</v>
      </c>
      <c r="H96" s="87"/>
      <c r="I96" s="85"/>
      <c r="J96" s="85">
        <f>B132+B71</f>
        <v>85166000</v>
      </c>
      <c r="K96" s="85"/>
      <c r="L96" s="85"/>
      <c r="M96" s="85"/>
      <c r="N96" s="79"/>
      <c r="O96" s="79"/>
      <c r="P96" s="85"/>
      <c r="Q96" s="85"/>
      <c r="R96" s="85"/>
      <c r="S96" s="85"/>
      <c r="T96" s="85"/>
      <c r="U96" s="85"/>
      <c r="V96" s="85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9"/>
      <c r="AU96" s="79"/>
      <c r="AV96" s="79"/>
      <c r="AW96" s="79"/>
      <c r="AX96" s="79"/>
      <c r="AY96" s="79"/>
      <c r="AZ96" s="79"/>
      <c r="BA96" s="79"/>
      <c r="BB96" s="79"/>
      <c r="BC96" s="79"/>
      <c r="BD96" s="79"/>
      <c r="BE96" s="79"/>
      <c r="BF96" s="79"/>
      <c r="BG96" s="79"/>
      <c r="BH96" s="79"/>
      <c r="BI96" s="79"/>
      <c r="BJ96" s="79"/>
      <c r="BK96" s="79"/>
      <c r="BL96" s="79"/>
      <c r="BM96" s="79"/>
      <c r="BN96" s="79"/>
      <c r="BO96" s="79"/>
      <c r="BP96" s="79"/>
      <c r="BQ96" s="79"/>
      <c r="BR96" s="79"/>
      <c r="BS96" s="79"/>
      <c r="BT96" s="79"/>
      <c r="BU96" s="79"/>
      <c r="BV96" s="79"/>
      <c r="BW96" s="79"/>
      <c r="BX96" s="79"/>
      <c r="BY96" s="79"/>
      <c r="BZ96" s="79"/>
      <c r="CA96" s="79"/>
      <c r="CB96" s="79"/>
      <c r="CC96" s="79"/>
      <c r="CD96" s="79"/>
      <c r="CE96" s="79"/>
      <c r="CF96" s="79"/>
      <c r="CG96" s="79"/>
      <c r="CH96" s="79"/>
      <c r="CI96" s="79"/>
      <c r="CJ96" s="79"/>
      <c r="CK96" s="79"/>
      <c r="CL96" s="79"/>
      <c r="CM96" s="79"/>
      <c r="CN96" s="79"/>
      <c r="CO96" s="79"/>
      <c r="CP96" s="79"/>
      <c r="CQ96" s="79"/>
      <c r="CR96" s="79"/>
      <c r="CS96" s="79"/>
      <c r="CT96" s="79"/>
      <c r="CU96" s="79"/>
      <c r="CV96" s="79"/>
      <c r="CW96" s="79"/>
      <c r="CX96" s="79"/>
      <c r="CY96" s="79"/>
      <c r="CZ96" s="79"/>
      <c r="DA96" s="79"/>
      <c r="DB96" s="79"/>
      <c r="DC96" s="79"/>
      <c r="DD96" s="79"/>
      <c r="DE96" s="79"/>
      <c r="DF96" s="79"/>
      <c r="DG96" s="79"/>
      <c r="DH96" s="79"/>
      <c r="DI96" s="79"/>
      <c r="DJ96" s="79"/>
      <c r="DK96" s="79"/>
      <c r="DL96" s="79"/>
      <c r="DM96" s="79"/>
      <c r="DN96" s="79"/>
      <c r="DO96" s="79"/>
      <c r="DP96" s="79"/>
      <c r="DQ96" s="79"/>
      <c r="DR96" s="79"/>
      <c r="DS96" s="79"/>
    </row>
    <row r="97" spans="1:123" s="80" customFormat="1" ht="21.95" customHeight="1">
      <c r="A97" s="457" t="s">
        <v>333</v>
      </c>
      <c r="B97" s="3144">
        <v>0</v>
      </c>
      <c r="C97" s="3134">
        <f t="shared" si="44"/>
        <v>0</v>
      </c>
      <c r="D97" s="3144">
        <f>'예산세출(주교)'!R80</f>
        <v>2402000</v>
      </c>
      <c r="E97" s="3134">
        <f t="shared" si="45"/>
        <v>2.3497511680033934E-4</v>
      </c>
      <c r="F97" s="3145">
        <f t="shared" si="47"/>
        <v>-2402000</v>
      </c>
      <c r="G97" s="3135">
        <f t="shared" si="36"/>
        <v>-1</v>
      </c>
      <c r="H97" s="87"/>
      <c r="I97" s="85"/>
      <c r="J97" s="85">
        <f>J93-J94-J96</f>
        <v>8711741000</v>
      </c>
      <c r="K97" s="85"/>
      <c r="L97" s="85"/>
      <c r="M97" s="85"/>
      <c r="N97" s="79"/>
      <c r="O97" s="79"/>
      <c r="P97" s="85"/>
      <c r="Q97" s="85"/>
      <c r="R97" s="85"/>
      <c r="S97" s="85"/>
      <c r="T97" s="85"/>
      <c r="U97" s="85"/>
      <c r="V97" s="85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  <c r="AL97" s="79"/>
      <c r="AM97" s="79"/>
      <c r="AN97" s="79"/>
      <c r="AO97" s="79"/>
      <c r="AP97" s="79"/>
      <c r="AQ97" s="79"/>
      <c r="AR97" s="79"/>
      <c r="AS97" s="79"/>
      <c r="AT97" s="79"/>
      <c r="AU97" s="79"/>
      <c r="AV97" s="79"/>
      <c r="AW97" s="79"/>
      <c r="AX97" s="79"/>
      <c r="AY97" s="79"/>
      <c r="AZ97" s="79"/>
      <c r="BA97" s="79"/>
      <c r="BB97" s="79"/>
      <c r="BC97" s="79"/>
      <c r="BD97" s="79"/>
      <c r="BE97" s="79"/>
      <c r="BF97" s="79"/>
      <c r="BG97" s="79"/>
      <c r="BH97" s="79"/>
      <c r="BI97" s="79"/>
      <c r="BJ97" s="79"/>
      <c r="BK97" s="79"/>
      <c r="BL97" s="79"/>
      <c r="BM97" s="79"/>
      <c r="BN97" s="79"/>
      <c r="BO97" s="79"/>
      <c r="BP97" s="79"/>
      <c r="BQ97" s="79"/>
      <c r="BR97" s="79"/>
      <c r="BS97" s="79"/>
      <c r="BT97" s="79"/>
      <c r="BU97" s="79"/>
      <c r="BV97" s="79"/>
      <c r="BW97" s="79"/>
      <c r="BX97" s="79"/>
      <c r="BY97" s="79"/>
      <c r="BZ97" s="79"/>
      <c r="CA97" s="79"/>
      <c r="CB97" s="79"/>
      <c r="CC97" s="79"/>
      <c r="CD97" s="79"/>
      <c r="CE97" s="79"/>
      <c r="CF97" s="79"/>
      <c r="CG97" s="79"/>
      <c r="CH97" s="79"/>
      <c r="CI97" s="79"/>
      <c r="CJ97" s="79"/>
      <c r="CK97" s="79"/>
      <c r="CL97" s="79"/>
      <c r="CM97" s="79"/>
      <c r="CN97" s="79"/>
      <c r="CO97" s="79"/>
      <c r="CP97" s="79"/>
      <c r="CQ97" s="79"/>
      <c r="CR97" s="79"/>
      <c r="CS97" s="79"/>
      <c r="CT97" s="79"/>
      <c r="CU97" s="79"/>
      <c r="CV97" s="79"/>
      <c r="CW97" s="79"/>
      <c r="CX97" s="79"/>
      <c r="CY97" s="79"/>
      <c r="CZ97" s="79"/>
      <c r="DA97" s="79"/>
      <c r="DB97" s="79"/>
      <c r="DC97" s="79"/>
      <c r="DD97" s="79"/>
      <c r="DE97" s="79"/>
      <c r="DF97" s="79"/>
      <c r="DG97" s="79"/>
      <c r="DH97" s="79"/>
      <c r="DI97" s="79"/>
      <c r="DJ97" s="79"/>
      <c r="DK97" s="79"/>
      <c r="DL97" s="79"/>
      <c r="DM97" s="79"/>
      <c r="DN97" s="79"/>
      <c r="DO97" s="79"/>
      <c r="DP97" s="79"/>
      <c r="DQ97" s="79"/>
      <c r="DR97" s="79"/>
      <c r="DS97" s="79"/>
    </row>
    <row r="98" spans="1:123" s="80" customFormat="1" ht="21.95" customHeight="1">
      <c r="A98" s="437" t="s">
        <v>365</v>
      </c>
      <c r="B98" s="3136">
        <f>'예산세출(일산서구)'!Q312</f>
        <v>8700000</v>
      </c>
      <c r="C98" s="3133">
        <f t="shared" si="44"/>
        <v>9.9864242024089774E-4</v>
      </c>
      <c r="D98" s="3136">
        <f>'예산세출(일산서구)'!R312</f>
        <v>7925000</v>
      </c>
      <c r="E98" s="3133">
        <f t="shared" si="45"/>
        <v>7.7526136579629025E-4</v>
      </c>
      <c r="F98" s="3137">
        <f t="shared" si="47"/>
        <v>775000</v>
      </c>
      <c r="G98" s="3138">
        <f t="shared" si="36"/>
        <v>9.7791798107255523E-2</v>
      </c>
      <c r="H98" s="87"/>
      <c r="I98" s="85"/>
      <c r="J98" s="85"/>
      <c r="K98" s="85"/>
      <c r="L98" s="85"/>
      <c r="M98" s="85"/>
      <c r="N98" s="79"/>
      <c r="O98" s="79"/>
      <c r="P98" s="85"/>
      <c r="Q98" s="85"/>
      <c r="R98" s="85"/>
      <c r="S98" s="85"/>
      <c r="T98" s="85"/>
      <c r="U98" s="85"/>
      <c r="V98" s="85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  <c r="AJ98" s="79"/>
      <c r="AK98" s="79"/>
      <c r="AL98" s="79"/>
      <c r="AM98" s="79"/>
      <c r="AN98" s="79"/>
      <c r="AO98" s="79"/>
      <c r="AP98" s="79"/>
      <c r="AQ98" s="79"/>
      <c r="AR98" s="79"/>
      <c r="AS98" s="79"/>
      <c r="AT98" s="79"/>
      <c r="AU98" s="79"/>
      <c r="AV98" s="79"/>
      <c r="AW98" s="79"/>
      <c r="AX98" s="79"/>
      <c r="AY98" s="79"/>
      <c r="AZ98" s="79"/>
      <c r="BA98" s="79"/>
      <c r="BB98" s="79"/>
      <c r="BC98" s="79"/>
      <c r="BD98" s="79"/>
      <c r="BE98" s="79"/>
      <c r="BF98" s="79"/>
      <c r="BG98" s="79"/>
      <c r="BH98" s="79"/>
      <c r="BI98" s="79"/>
      <c r="BJ98" s="79"/>
      <c r="BK98" s="79"/>
      <c r="BL98" s="79"/>
      <c r="BM98" s="79"/>
      <c r="BN98" s="79"/>
      <c r="BO98" s="79"/>
      <c r="BP98" s="79"/>
      <c r="BQ98" s="79"/>
      <c r="BR98" s="79"/>
      <c r="BS98" s="79"/>
      <c r="BT98" s="79"/>
      <c r="BU98" s="79"/>
      <c r="BV98" s="79"/>
      <c r="BW98" s="79"/>
      <c r="BX98" s="79"/>
      <c r="BY98" s="79"/>
      <c r="BZ98" s="79"/>
      <c r="CA98" s="79"/>
      <c r="CB98" s="79"/>
      <c r="CC98" s="79"/>
      <c r="CD98" s="79"/>
      <c r="CE98" s="79"/>
      <c r="CF98" s="79"/>
      <c r="CG98" s="79"/>
      <c r="CH98" s="79"/>
      <c r="CI98" s="79"/>
      <c r="CJ98" s="79"/>
      <c r="CK98" s="79"/>
      <c r="CL98" s="79"/>
      <c r="CM98" s="79"/>
      <c r="CN98" s="79"/>
      <c r="CO98" s="79"/>
      <c r="CP98" s="79"/>
      <c r="CQ98" s="79"/>
      <c r="CR98" s="79"/>
      <c r="CS98" s="79"/>
      <c r="CT98" s="79"/>
      <c r="CU98" s="79"/>
      <c r="CV98" s="79"/>
      <c r="CW98" s="79"/>
      <c r="CX98" s="79"/>
      <c r="CY98" s="79"/>
      <c r="CZ98" s="79"/>
      <c r="DA98" s="79"/>
      <c r="DB98" s="79"/>
      <c r="DC98" s="79"/>
      <c r="DD98" s="79"/>
      <c r="DE98" s="79"/>
      <c r="DF98" s="79"/>
      <c r="DG98" s="79"/>
      <c r="DH98" s="79"/>
      <c r="DI98" s="79"/>
      <c r="DJ98" s="79"/>
      <c r="DK98" s="79"/>
      <c r="DL98" s="79"/>
      <c r="DM98" s="79"/>
      <c r="DN98" s="79"/>
      <c r="DO98" s="79"/>
      <c r="DP98" s="79"/>
      <c r="DQ98" s="79"/>
      <c r="DR98" s="79"/>
      <c r="DS98" s="79"/>
    </row>
    <row r="99" spans="1:123" s="80" customFormat="1" ht="21.95" customHeight="1">
      <c r="A99" s="448" t="s">
        <v>405</v>
      </c>
      <c r="B99" s="3129">
        <f>'예산세출(토당)'!Q206</f>
        <v>4960000</v>
      </c>
      <c r="C99" s="3130">
        <f t="shared" si="44"/>
        <v>5.6934096602239694E-4</v>
      </c>
      <c r="D99" s="3129">
        <f>'예산세출(토당)'!R206</f>
        <v>18800000</v>
      </c>
      <c r="E99" s="3133">
        <f t="shared" si="45"/>
        <v>1.8391058267470356E-3</v>
      </c>
      <c r="F99" s="3131">
        <f t="shared" si="47"/>
        <v>-13840000</v>
      </c>
      <c r="G99" s="3138">
        <f t="shared" si="36"/>
        <v>-0.7361702127659574</v>
      </c>
      <c r="H99" s="87"/>
      <c r="I99" s="85"/>
      <c r="J99" s="85"/>
      <c r="K99" s="85"/>
      <c r="L99" s="85"/>
      <c r="M99" s="85"/>
      <c r="N99" s="79"/>
      <c r="O99" s="79"/>
      <c r="P99" s="85"/>
      <c r="Q99" s="85"/>
      <c r="R99" s="85"/>
      <c r="S99" s="85"/>
      <c r="T99" s="85"/>
      <c r="U99" s="85"/>
      <c r="V99" s="85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  <c r="AL99" s="79"/>
      <c r="AM99" s="79"/>
      <c r="AN99" s="79"/>
      <c r="AO99" s="79"/>
      <c r="AP99" s="79"/>
      <c r="AQ99" s="79"/>
      <c r="AR99" s="79"/>
      <c r="AS99" s="79"/>
      <c r="AT99" s="79"/>
      <c r="AU99" s="79"/>
      <c r="AV99" s="79"/>
      <c r="AW99" s="79"/>
      <c r="AX99" s="79"/>
      <c r="AY99" s="79"/>
      <c r="AZ99" s="79"/>
      <c r="BA99" s="79"/>
      <c r="BB99" s="79"/>
      <c r="BC99" s="79"/>
      <c r="BD99" s="79"/>
      <c r="BE99" s="79"/>
      <c r="BF99" s="79"/>
      <c r="BG99" s="79"/>
      <c r="BH99" s="79"/>
      <c r="BI99" s="79"/>
      <c r="BJ99" s="79"/>
      <c r="BK99" s="79"/>
      <c r="BL99" s="79"/>
      <c r="BM99" s="79"/>
      <c r="BN99" s="79"/>
      <c r="BO99" s="79"/>
      <c r="BP99" s="79"/>
      <c r="BQ99" s="79"/>
      <c r="BR99" s="79"/>
      <c r="BS99" s="79"/>
      <c r="BT99" s="79"/>
      <c r="BU99" s="79"/>
      <c r="BV99" s="79"/>
      <c r="BW99" s="79"/>
      <c r="BX99" s="79"/>
      <c r="BY99" s="79"/>
      <c r="BZ99" s="79"/>
      <c r="CA99" s="79"/>
      <c r="CB99" s="79"/>
      <c r="CC99" s="79"/>
      <c r="CD99" s="79"/>
      <c r="CE99" s="79"/>
      <c r="CF99" s="79"/>
      <c r="CG99" s="79"/>
      <c r="CH99" s="79"/>
      <c r="CI99" s="79"/>
      <c r="CJ99" s="79"/>
      <c r="CK99" s="79"/>
      <c r="CL99" s="79"/>
      <c r="CM99" s="79"/>
      <c r="CN99" s="79"/>
      <c r="CO99" s="79"/>
      <c r="CP99" s="79"/>
      <c r="CQ99" s="79"/>
      <c r="CR99" s="79"/>
      <c r="CS99" s="79"/>
      <c r="CT99" s="79"/>
      <c r="CU99" s="79"/>
      <c r="CV99" s="79"/>
      <c r="CW99" s="79"/>
      <c r="CX99" s="79"/>
      <c r="CY99" s="79"/>
      <c r="CZ99" s="79"/>
      <c r="DA99" s="79"/>
      <c r="DB99" s="79"/>
      <c r="DC99" s="79"/>
      <c r="DD99" s="79"/>
      <c r="DE99" s="79"/>
      <c r="DF99" s="79"/>
      <c r="DG99" s="79"/>
      <c r="DH99" s="79"/>
      <c r="DI99" s="79"/>
      <c r="DJ99" s="79"/>
      <c r="DK99" s="79"/>
      <c r="DL99" s="79"/>
      <c r="DM99" s="79"/>
      <c r="DN99" s="79"/>
      <c r="DO99" s="79"/>
      <c r="DP99" s="79"/>
      <c r="DQ99" s="79"/>
      <c r="DR99" s="79"/>
      <c r="DS99" s="79"/>
    </row>
    <row r="100" spans="1:123" s="80" customFormat="1" ht="21.95" customHeight="1">
      <c r="A100" s="278" t="s">
        <v>692</v>
      </c>
      <c r="B100" s="279">
        <f>SUM(B101:B109)</f>
        <v>1604770000</v>
      </c>
      <c r="C100" s="280">
        <f t="shared" si="5"/>
        <v>0.18420590767011327</v>
      </c>
      <c r="D100" s="279">
        <f>SUM(D101:D109)</f>
        <v>1270144000</v>
      </c>
      <c r="E100" s="280">
        <f>+D100/$D$7</f>
        <v>0.12425155485147801</v>
      </c>
      <c r="F100" s="281">
        <f>SUM(F101:F109)</f>
        <v>334626000</v>
      </c>
      <c r="G100" s="282">
        <f t="shared" si="36"/>
        <v>0.26345516728811852</v>
      </c>
      <c r="H100" s="89"/>
      <c r="I100" s="85"/>
      <c r="J100" s="85"/>
      <c r="K100" s="85"/>
      <c r="L100" s="85"/>
      <c r="M100" s="85"/>
      <c r="N100" s="79"/>
      <c r="O100" s="79"/>
      <c r="P100" s="85"/>
      <c r="Q100" s="85"/>
      <c r="R100" s="85"/>
      <c r="S100" s="85"/>
      <c r="T100" s="85"/>
      <c r="U100" s="85"/>
      <c r="V100" s="85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  <c r="AL100" s="79"/>
      <c r="AM100" s="79"/>
      <c r="AN100" s="79"/>
      <c r="AO100" s="79"/>
      <c r="AP100" s="79"/>
      <c r="AQ100" s="79"/>
      <c r="AR100" s="79"/>
      <c r="AS100" s="79"/>
      <c r="AT100" s="79"/>
      <c r="AU100" s="79"/>
      <c r="AV100" s="79"/>
      <c r="AW100" s="79"/>
      <c r="AX100" s="79"/>
      <c r="AY100" s="79"/>
      <c r="AZ100" s="79"/>
      <c r="BA100" s="79"/>
      <c r="BB100" s="79"/>
      <c r="BC100" s="79"/>
      <c r="BD100" s="79"/>
      <c r="BE100" s="79"/>
      <c r="BF100" s="79"/>
      <c r="BG100" s="79"/>
      <c r="BH100" s="79"/>
      <c r="BI100" s="79"/>
      <c r="BJ100" s="79"/>
      <c r="BK100" s="79"/>
      <c r="BL100" s="79"/>
      <c r="BM100" s="79"/>
      <c r="BN100" s="79"/>
      <c r="BO100" s="79"/>
      <c r="BP100" s="79"/>
      <c r="BQ100" s="79"/>
      <c r="BR100" s="79"/>
      <c r="BS100" s="79"/>
      <c r="BT100" s="79"/>
      <c r="BU100" s="79"/>
      <c r="BV100" s="79"/>
      <c r="BW100" s="79"/>
      <c r="BX100" s="79"/>
      <c r="BY100" s="79"/>
      <c r="BZ100" s="79"/>
      <c r="CA100" s="79"/>
      <c r="CB100" s="79"/>
      <c r="CC100" s="79"/>
      <c r="CD100" s="79"/>
      <c r="CE100" s="79"/>
      <c r="CF100" s="79"/>
      <c r="CG100" s="79"/>
      <c r="CH100" s="79"/>
      <c r="CI100" s="79"/>
      <c r="CJ100" s="79"/>
      <c r="CK100" s="79"/>
      <c r="CL100" s="79"/>
      <c r="CM100" s="79"/>
      <c r="CN100" s="79"/>
      <c r="CO100" s="79"/>
      <c r="CP100" s="79"/>
      <c r="CQ100" s="79"/>
      <c r="CR100" s="79"/>
      <c r="CS100" s="79"/>
      <c r="CT100" s="79"/>
      <c r="CU100" s="79"/>
      <c r="CV100" s="79"/>
      <c r="CW100" s="79"/>
      <c r="CX100" s="79"/>
      <c r="CY100" s="79"/>
      <c r="CZ100" s="79"/>
      <c r="DA100" s="79"/>
      <c r="DB100" s="79"/>
      <c r="DC100" s="79"/>
      <c r="DD100" s="79"/>
      <c r="DE100" s="79"/>
      <c r="DF100" s="79"/>
      <c r="DG100" s="79"/>
      <c r="DH100" s="79"/>
      <c r="DI100" s="79"/>
      <c r="DJ100" s="79"/>
      <c r="DK100" s="79"/>
      <c r="DL100" s="79"/>
      <c r="DM100" s="79"/>
      <c r="DN100" s="79"/>
      <c r="DO100" s="79"/>
      <c r="DP100" s="79"/>
      <c r="DQ100" s="79"/>
      <c r="DR100" s="79"/>
      <c r="DS100" s="79"/>
    </row>
    <row r="101" spans="1:123" s="80" customFormat="1" ht="21.95" customHeight="1">
      <c r="A101" s="454" t="s">
        <v>591</v>
      </c>
      <c r="B101" s="3139">
        <f>'예산세출(마두)'!Q268</f>
        <v>497876000</v>
      </c>
      <c r="C101" s="3140">
        <f t="shared" si="5"/>
        <v>5.714943604825945E-2</v>
      </c>
      <c r="D101" s="3139">
        <v>432950000</v>
      </c>
      <c r="E101" s="3140">
        <f t="shared" si="11"/>
        <v>4.235323764309197E-2</v>
      </c>
      <c r="F101" s="3141">
        <f t="shared" ref="F101:F105" si="48">+B101-D101</f>
        <v>64926000</v>
      </c>
      <c r="G101" s="3142">
        <f t="shared" si="36"/>
        <v>0.14996188936366786</v>
      </c>
      <c r="H101" s="87"/>
      <c r="I101" s="85"/>
      <c r="J101" s="85"/>
      <c r="K101" s="85"/>
      <c r="L101" s="85"/>
      <c r="M101" s="85"/>
      <c r="N101" s="79"/>
      <c r="O101" s="79"/>
      <c r="P101" s="85"/>
      <c r="Q101" s="85"/>
      <c r="R101" s="85"/>
      <c r="S101" s="85"/>
      <c r="T101" s="85"/>
      <c r="U101" s="85"/>
      <c r="V101" s="85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79"/>
      <c r="AN101" s="79"/>
      <c r="AO101" s="79"/>
      <c r="AP101" s="79"/>
      <c r="AQ101" s="79"/>
      <c r="AR101" s="79"/>
      <c r="AS101" s="79"/>
      <c r="AT101" s="79"/>
      <c r="AU101" s="79"/>
      <c r="AV101" s="79"/>
      <c r="AW101" s="79"/>
      <c r="AX101" s="79"/>
      <c r="AY101" s="79"/>
      <c r="AZ101" s="79"/>
      <c r="BA101" s="79"/>
      <c r="BB101" s="79"/>
      <c r="BC101" s="79"/>
      <c r="BD101" s="79"/>
      <c r="BE101" s="79"/>
      <c r="BF101" s="79"/>
      <c r="BG101" s="79"/>
      <c r="BH101" s="79"/>
      <c r="BI101" s="79"/>
      <c r="BJ101" s="79"/>
      <c r="BK101" s="79"/>
      <c r="BL101" s="79"/>
      <c r="BM101" s="79"/>
      <c r="BN101" s="79"/>
      <c r="BO101" s="79"/>
      <c r="BP101" s="79"/>
      <c r="BQ101" s="79"/>
      <c r="BR101" s="79"/>
      <c r="BS101" s="79"/>
      <c r="BT101" s="79"/>
      <c r="BU101" s="79"/>
      <c r="BV101" s="79"/>
      <c r="BW101" s="79"/>
      <c r="BX101" s="79"/>
      <c r="BY101" s="79"/>
      <c r="BZ101" s="79"/>
      <c r="CA101" s="79"/>
      <c r="CB101" s="79"/>
      <c r="CC101" s="79"/>
      <c r="CD101" s="79"/>
      <c r="CE101" s="79"/>
      <c r="CF101" s="79"/>
      <c r="CG101" s="79"/>
      <c r="CH101" s="79"/>
      <c r="CI101" s="79"/>
      <c r="CJ101" s="79"/>
      <c r="CK101" s="79"/>
      <c r="CL101" s="79"/>
      <c r="CM101" s="79"/>
      <c r="CN101" s="79"/>
      <c r="CO101" s="79"/>
      <c r="CP101" s="79"/>
      <c r="CQ101" s="79"/>
      <c r="CR101" s="79"/>
      <c r="CS101" s="79"/>
      <c r="CT101" s="79"/>
      <c r="CU101" s="79"/>
      <c r="CV101" s="79"/>
      <c r="CW101" s="79"/>
      <c r="CX101" s="79"/>
      <c r="CY101" s="79"/>
      <c r="CZ101" s="79"/>
      <c r="DA101" s="79"/>
      <c r="DB101" s="79"/>
      <c r="DC101" s="79"/>
      <c r="DD101" s="79"/>
      <c r="DE101" s="79"/>
      <c r="DF101" s="79"/>
      <c r="DG101" s="79"/>
      <c r="DH101" s="79"/>
      <c r="DI101" s="79"/>
      <c r="DJ101" s="79"/>
      <c r="DK101" s="79"/>
      <c r="DL101" s="79"/>
      <c r="DM101" s="79"/>
      <c r="DN101" s="79"/>
      <c r="DO101" s="79"/>
      <c r="DP101" s="79"/>
      <c r="DQ101" s="79"/>
      <c r="DR101" s="79"/>
      <c r="DS101" s="79"/>
    </row>
    <row r="102" spans="1:123" s="80" customFormat="1" ht="21.95" customHeight="1">
      <c r="A102" s="448" t="s">
        <v>287</v>
      </c>
      <c r="B102" s="3129">
        <f>'예산세출(성사)'!Q269</f>
        <v>12428000</v>
      </c>
      <c r="C102" s="3130">
        <f t="shared" ref="C102:C103" si="49">+B102/$B$7</f>
        <v>1.4265664366383767E-3</v>
      </c>
      <c r="D102" s="3129">
        <v>0</v>
      </c>
      <c r="E102" s="3130">
        <f t="shared" ref="E102:E103" si="50">+D102/$D$7</f>
        <v>0</v>
      </c>
      <c r="F102" s="3131">
        <f t="shared" si="48"/>
        <v>12428000</v>
      </c>
      <c r="G102" s="3132"/>
      <c r="H102" s="87"/>
      <c r="I102" s="85"/>
      <c r="J102" s="85"/>
      <c r="K102" s="85"/>
      <c r="L102" s="85"/>
      <c r="M102" s="85"/>
      <c r="N102" s="79"/>
      <c r="O102" s="79"/>
      <c r="P102" s="85"/>
      <c r="Q102" s="85"/>
      <c r="R102" s="85"/>
      <c r="S102" s="85"/>
      <c r="T102" s="85"/>
      <c r="U102" s="85"/>
      <c r="V102" s="85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  <c r="AK102" s="79"/>
      <c r="AL102" s="79"/>
      <c r="AM102" s="79"/>
      <c r="AN102" s="79"/>
      <c r="AO102" s="79"/>
      <c r="AP102" s="79"/>
      <c r="AQ102" s="79"/>
      <c r="AR102" s="79"/>
      <c r="AS102" s="79"/>
      <c r="AT102" s="79"/>
      <c r="AU102" s="79"/>
      <c r="AV102" s="79"/>
      <c r="AW102" s="79"/>
      <c r="AX102" s="79"/>
      <c r="AY102" s="79"/>
      <c r="AZ102" s="79"/>
      <c r="BA102" s="79"/>
      <c r="BB102" s="79"/>
      <c r="BC102" s="79"/>
      <c r="BD102" s="79"/>
      <c r="BE102" s="79"/>
      <c r="BF102" s="79"/>
      <c r="BG102" s="79"/>
      <c r="BH102" s="79"/>
      <c r="BI102" s="79"/>
      <c r="BJ102" s="79"/>
      <c r="BK102" s="79"/>
      <c r="BL102" s="79"/>
      <c r="BM102" s="79"/>
      <c r="BN102" s="79"/>
      <c r="BO102" s="79"/>
      <c r="BP102" s="79"/>
      <c r="BQ102" s="79"/>
      <c r="BR102" s="79"/>
      <c r="BS102" s="79"/>
      <c r="BT102" s="79"/>
      <c r="BU102" s="79"/>
      <c r="BV102" s="79"/>
      <c r="BW102" s="79"/>
      <c r="BX102" s="79"/>
      <c r="BY102" s="79"/>
      <c r="BZ102" s="79"/>
      <c r="CA102" s="79"/>
      <c r="CB102" s="79"/>
      <c r="CC102" s="79"/>
      <c r="CD102" s="79"/>
      <c r="CE102" s="79"/>
      <c r="CF102" s="79"/>
      <c r="CG102" s="79"/>
      <c r="CH102" s="79"/>
      <c r="CI102" s="79"/>
      <c r="CJ102" s="79"/>
      <c r="CK102" s="79"/>
      <c r="CL102" s="79"/>
      <c r="CM102" s="79"/>
      <c r="CN102" s="79"/>
      <c r="CO102" s="79"/>
      <c r="CP102" s="79"/>
      <c r="CQ102" s="79"/>
      <c r="CR102" s="79"/>
      <c r="CS102" s="79"/>
      <c r="CT102" s="79"/>
      <c r="CU102" s="79"/>
      <c r="CV102" s="79"/>
      <c r="CW102" s="79"/>
      <c r="CX102" s="79"/>
      <c r="CY102" s="79"/>
      <c r="CZ102" s="79"/>
      <c r="DA102" s="79"/>
      <c r="DB102" s="79"/>
      <c r="DC102" s="79"/>
      <c r="DD102" s="79"/>
      <c r="DE102" s="79"/>
      <c r="DF102" s="79"/>
      <c r="DG102" s="79"/>
      <c r="DH102" s="79"/>
      <c r="DI102" s="79"/>
      <c r="DJ102" s="79"/>
      <c r="DK102" s="79"/>
      <c r="DL102" s="79"/>
      <c r="DM102" s="79"/>
      <c r="DN102" s="79"/>
      <c r="DO102" s="79"/>
      <c r="DP102" s="79"/>
      <c r="DQ102" s="79"/>
      <c r="DR102" s="79"/>
      <c r="DS102" s="79"/>
    </row>
    <row r="103" spans="1:123" s="80" customFormat="1" ht="21.95" customHeight="1">
      <c r="A103" s="441" t="s">
        <v>312</v>
      </c>
      <c r="B103" s="3144">
        <f>'예산세출(탄현)'!Q166</f>
        <v>95204000</v>
      </c>
      <c r="C103" s="3134">
        <f t="shared" si="49"/>
        <v>1.0928132526047636E-2</v>
      </c>
      <c r="D103" s="3144">
        <v>82400000</v>
      </c>
      <c r="E103" s="3134">
        <f t="shared" si="50"/>
        <v>8.0607617087210502E-3</v>
      </c>
      <c r="F103" s="3145">
        <f t="shared" si="48"/>
        <v>12804000</v>
      </c>
      <c r="G103" s="3135">
        <f t="shared" si="36"/>
        <v>0.1553883495145631</v>
      </c>
      <c r="H103" s="87"/>
      <c r="I103" s="85"/>
      <c r="J103" s="85"/>
      <c r="K103" s="85"/>
      <c r="L103" s="85"/>
      <c r="M103" s="85"/>
      <c r="N103" s="79"/>
      <c r="O103" s="79"/>
      <c r="P103" s="85"/>
      <c r="Q103" s="85"/>
      <c r="R103" s="85"/>
      <c r="S103" s="85"/>
      <c r="T103" s="85"/>
      <c r="U103" s="85"/>
      <c r="V103" s="85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  <c r="AL103" s="79"/>
      <c r="AM103" s="79"/>
      <c r="AN103" s="79"/>
      <c r="AO103" s="79"/>
      <c r="AP103" s="79"/>
      <c r="AQ103" s="79"/>
      <c r="AR103" s="79"/>
      <c r="AS103" s="79"/>
      <c r="AT103" s="79"/>
      <c r="AU103" s="79"/>
      <c r="AV103" s="79"/>
      <c r="AW103" s="79"/>
      <c r="AX103" s="79"/>
      <c r="AY103" s="79"/>
      <c r="AZ103" s="79"/>
      <c r="BA103" s="79"/>
      <c r="BB103" s="79"/>
      <c r="BC103" s="79"/>
      <c r="BD103" s="79"/>
      <c r="BE103" s="79"/>
      <c r="BF103" s="79"/>
      <c r="BG103" s="79"/>
      <c r="BH103" s="79"/>
      <c r="BI103" s="79"/>
      <c r="BJ103" s="79"/>
      <c r="BK103" s="79"/>
      <c r="BL103" s="79"/>
      <c r="BM103" s="79"/>
      <c r="BN103" s="79"/>
      <c r="BO103" s="79"/>
      <c r="BP103" s="79"/>
      <c r="BQ103" s="79"/>
      <c r="BR103" s="79"/>
      <c r="BS103" s="79"/>
      <c r="BT103" s="79"/>
      <c r="BU103" s="79"/>
      <c r="BV103" s="79"/>
      <c r="BW103" s="79"/>
      <c r="BX103" s="79"/>
      <c r="BY103" s="79"/>
      <c r="BZ103" s="79"/>
      <c r="CA103" s="79"/>
      <c r="CB103" s="79"/>
      <c r="CC103" s="79"/>
      <c r="CD103" s="79"/>
      <c r="CE103" s="79"/>
      <c r="CF103" s="79"/>
      <c r="CG103" s="79"/>
      <c r="CH103" s="79"/>
      <c r="CI103" s="79"/>
      <c r="CJ103" s="79"/>
      <c r="CK103" s="79"/>
      <c r="CL103" s="79"/>
      <c r="CM103" s="79"/>
      <c r="CN103" s="79"/>
      <c r="CO103" s="79"/>
      <c r="CP103" s="79"/>
      <c r="CQ103" s="79"/>
      <c r="CR103" s="79"/>
      <c r="CS103" s="79"/>
      <c r="CT103" s="79"/>
      <c r="CU103" s="79"/>
      <c r="CV103" s="79"/>
      <c r="CW103" s="79"/>
      <c r="CX103" s="79"/>
      <c r="CY103" s="79"/>
      <c r="CZ103" s="79"/>
      <c r="DA103" s="79"/>
      <c r="DB103" s="79"/>
      <c r="DC103" s="79"/>
      <c r="DD103" s="79"/>
      <c r="DE103" s="79"/>
      <c r="DF103" s="79"/>
      <c r="DG103" s="79"/>
      <c r="DH103" s="79"/>
      <c r="DI103" s="79"/>
      <c r="DJ103" s="79"/>
      <c r="DK103" s="79"/>
      <c r="DL103" s="79"/>
      <c r="DM103" s="79"/>
      <c r="DN103" s="79"/>
      <c r="DO103" s="79"/>
      <c r="DP103" s="79"/>
      <c r="DQ103" s="79"/>
      <c r="DR103" s="79"/>
      <c r="DS103" s="79"/>
    </row>
    <row r="104" spans="1:123" s="80" customFormat="1" ht="21.95" customHeight="1">
      <c r="A104" s="463" t="s">
        <v>622</v>
      </c>
      <c r="B104" s="3139">
        <f>'예산세출(일산서구)'!Q318</f>
        <v>367993000</v>
      </c>
      <c r="C104" s="3140">
        <f t="shared" si="5"/>
        <v>4.2240623005943528E-2</v>
      </c>
      <c r="D104" s="3139">
        <v>87732000</v>
      </c>
      <c r="E104" s="3140">
        <f t="shared" si="11"/>
        <v>8.5823634251154749E-3</v>
      </c>
      <c r="F104" s="3141">
        <f t="shared" si="48"/>
        <v>280261000</v>
      </c>
      <c r="G104" s="3142">
        <f t="shared" si="36"/>
        <v>3.1945128345415585</v>
      </c>
      <c r="H104" s="87"/>
      <c r="I104" s="85"/>
      <c r="J104" s="85"/>
      <c r="K104" s="85"/>
      <c r="L104" s="85"/>
      <c r="M104" s="85"/>
      <c r="N104" s="79"/>
      <c r="O104" s="79"/>
      <c r="P104" s="85"/>
      <c r="Q104" s="85"/>
      <c r="R104" s="85"/>
      <c r="S104" s="85"/>
      <c r="T104" s="85"/>
      <c r="U104" s="85"/>
      <c r="V104" s="85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  <c r="AK104" s="79"/>
      <c r="AL104" s="79"/>
      <c r="AM104" s="79"/>
      <c r="AN104" s="79"/>
      <c r="AO104" s="79"/>
      <c r="AP104" s="79"/>
      <c r="AQ104" s="79"/>
      <c r="AR104" s="79"/>
      <c r="AS104" s="79"/>
      <c r="AT104" s="79"/>
      <c r="AU104" s="79"/>
      <c r="AV104" s="79"/>
      <c r="AW104" s="79"/>
      <c r="AX104" s="79"/>
      <c r="AY104" s="79"/>
      <c r="AZ104" s="79"/>
      <c r="BA104" s="79"/>
      <c r="BB104" s="79"/>
      <c r="BC104" s="79"/>
      <c r="BD104" s="79"/>
      <c r="BE104" s="79"/>
      <c r="BF104" s="79"/>
      <c r="BG104" s="79"/>
      <c r="BH104" s="79"/>
      <c r="BI104" s="79"/>
      <c r="BJ104" s="79"/>
      <c r="BK104" s="79"/>
      <c r="BL104" s="79"/>
      <c r="BM104" s="79"/>
      <c r="BN104" s="79"/>
      <c r="BO104" s="79"/>
      <c r="BP104" s="79"/>
      <c r="BQ104" s="79"/>
      <c r="BR104" s="79"/>
      <c r="BS104" s="79"/>
      <c r="BT104" s="79"/>
      <c r="BU104" s="79"/>
      <c r="BV104" s="79"/>
      <c r="BW104" s="79"/>
      <c r="BX104" s="79"/>
      <c r="BY104" s="79"/>
      <c r="BZ104" s="79"/>
      <c r="CA104" s="79"/>
      <c r="CB104" s="79"/>
      <c r="CC104" s="79"/>
      <c r="CD104" s="79"/>
      <c r="CE104" s="79"/>
      <c r="CF104" s="79"/>
      <c r="CG104" s="79"/>
      <c r="CH104" s="79"/>
      <c r="CI104" s="79"/>
      <c r="CJ104" s="79"/>
      <c r="CK104" s="79"/>
      <c r="CL104" s="79"/>
      <c r="CM104" s="79"/>
      <c r="CN104" s="79"/>
      <c r="CO104" s="79"/>
      <c r="CP104" s="79"/>
      <c r="CQ104" s="79"/>
      <c r="CR104" s="79"/>
      <c r="CS104" s="79"/>
      <c r="CT104" s="79"/>
      <c r="CU104" s="79"/>
      <c r="CV104" s="79"/>
      <c r="CW104" s="79"/>
      <c r="CX104" s="79"/>
      <c r="CY104" s="79"/>
      <c r="CZ104" s="79"/>
      <c r="DA104" s="79"/>
      <c r="DB104" s="79"/>
      <c r="DC104" s="79"/>
      <c r="DD104" s="79"/>
      <c r="DE104" s="79"/>
      <c r="DF104" s="79"/>
      <c r="DG104" s="79"/>
      <c r="DH104" s="79"/>
      <c r="DI104" s="79"/>
      <c r="DJ104" s="79"/>
      <c r="DK104" s="79"/>
      <c r="DL104" s="79"/>
      <c r="DM104" s="79"/>
      <c r="DN104" s="79"/>
      <c r="DO104" s="79"/>
      <c r="DP104" s="79"/>
      <c r="DQ104" s="79"/>
      <c r="DR104" s="79"/>
      <c r="DS104" s="79"/>
    </row>
    <row r="105" spans="1:123" s="80" customFormat="1" ht="21.95" customHeight="1">
      <c r="A105" s="448" t="s">
        <v>593</v>
      </c>
      <c r="B105" s="3129">
        <f>'예산세출(토당)'!Q210</f>
        <v>563165000</v>
      </c>
      <c r="C105" s="3130">
        <f t="shared" ref="C105:C136" si="51">+B105/$B$7</f>
        <v>6.4643730872984501E-2</v>
      </c>
      <c r="D105" s="3129">
        <v>631422000</v>
      </c>
      <c r="E105" s="3130">
        <f t="shared" si="11"/>
        <v>6.1768716985971632E-2</v>
      </c>
      <c r="F105" s="3131">
        <f t="shared" si="48"/>
        <v>-68257000</v>
      </c>
      <c r="G105" s="3132">
        <f t="shared" si="36"/>
        <v>-0.10810044629423746</v>
      </c>
      <c r="H105" s="87"/>
      <c r="I105" s="85"/>
      <c r="J105" s="85"/>
      <c r="K105" s="85"/>
      <c r="L105" s="85"/>
      <c r="M105" s="85"/>
      <c r="N105" s="79"/>
      <c r="O105" s="79"/>
      <c r="P105" s="85"/>
      <c r="Q105" s="85"/>
      <c r="R105" s="85"/>
      <c r="S105" s="85"/>
      <c r="T105" s="85"/>
      <c r="U105" s="85"/>
      <c r="V105" s="85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79"/>
      <c r="AU105" s="79"/>
      <c r="AV105" s="79"/>
      <c r="AW105" s="79"/>
      <c r="AX105" s="79"/>
      <c r="AY105" s="79"/>
      <c r="AZ105" s="79"/>
      <c r="BA105" s="79"/>
      <c r="BB105" s="79"/>
      <c r="BC105" s="79"/>
      <c r="BD105" s="79"/>
      <c r="BE105" s="79"/>
      <c r="BF105" s="79"/>
      <c r="BG105" s="79"/>
      <c r="BH105" s="79"/>
      <c r="BI105" s="79"/>
      <c r="BJ105" s="79"/>
      <c r="BK105" s="79"/>
      <c r="BL105" s="79"/>
      <c r="BM105" s="79"/>
      <c r="BN105" s="79"/>
      <c r="BO105" s="79"/>
      <c r="BP105" s="79"/>
      <c r="BQ105" s="79"/>
      <c r="BR105" s="79"/>
      <c r="BS105" s="79"/>
      <c r="BT105" s="79"/>
      <c r="BU105" s="79"/>
      <c r="BV105" s="79"/>
      <c r="BW105" s="79"/>
      <c r="BX105" s="79"/>
      <c r="BY105" s="79"/>
      <c r="BZ105" s="79"/>
      <c r="CA105" s="79"/>
      <c r="CB105" s="79"/>
      <c r="CC105" s="79"/>
      <c r="CD105" s="79"/>
      <c r="CE105" s="79"/>
      <c r="CF105" s="79"/>
      <c r="CG105" s="79"/>
      <c r="CH105" s="79"/>
      <c r="CI105" s="79"/>
      <c r="CJ105" s="79"/>
      <c r="CK105" s="79"/>
      <c r="CL105" s="79"/>
      <c r="CM105" s="79"/>
      <c r="CN105" s="79"/>
      <c r="CO105" s="79"/>
      <c r="CP105" s="79"/>
      <c r="CQ105" s="79"/>
      <c r="CR105" s="79"/>
      <c r="CS105" s="79"/>
      <c r="CT105" s="79"/>
      <c r="CU105" s="79"/>
      <c r="CV105" s="79"/>
      <c r="CW105" s="79"/>
      <c r="CX105" s="79"/>
      <c r="CY105" s="79"/>
      <c r="CZ105" s="79"/>
      <c r="DA105" s="79"/>
      <c r="DB105" s="79"/>
      <c r="DC105" s="79"/>
      <c r="DD105" s="79"/>
      <c r="DE105" s="79"/>
      <c r="DF105" s="79"/>
      <c r="DG105" s="79"/>
      <c r="DH105" s="79"/>
      <c r="DI105" s="79"/>
      <c r="DJ105" s="79"/>
      <c r="DK105" s="79"/>
      <c r="DL105" s="79"/>
      <c r="DM105" s="79"/>
      <c r="DN105" s="79"/>
      <c r="DO105" s="79"/>
      <c r="DP105" s="79"/>
      <c r="DQ105" s="79"/>
      <c r="DR105" s="79"/>
      <c r="DS105" s="79"/>
    </row>
    <row r="106" spans="1:123" s="80" customFormat="1" ht="21.95" customHeight="1">
      <c r="A106" s="448" t="s">
        <v>594</v>
      </c>
      <c r="B106" s="3129">
        <f>'예산세출(상담)'!Q180</f>
        <v>37720000</v>
      </c>
      <c r="C106" s="3130">
        <f t="shared" ref="C106:C109" si="52">+B106/$B$7</f>
        <v>4.3297462174122607E-3</v>
      </c>
      <c r="D106" s="3129">
        <v>20160000</v>
      </c>
      <c r="E106" s="3130">
        <f t="shared" ref="E106:E109" si="53">+D106/$D$7</f>
        <v>1.9721475248521401E-3</v>
      </c>
      <c r="F106" s="3131">
        <f t="shared" ref="F106:F109" si="54">+B106-D106</f>
        <v>17560000</v>
      </c>
      <c r="G106" s="3132">
        <f t="shared" ref="G106" si="55">+F106/D106</f>
        <v>0.87103174603174605</v>
      </c>
      <c r="H106" s="87"/>
      <c r="I106" s="85"/>
      <c r="J106" s="85"/>
      <c r="K106" s="85"/>
      <c r="L106" s="85"/>
      <c r="M106" s="85"/>
      <c r="N106" s="79"/>
      <c r="O106" s="79"/>
      <c r="P106" s="85"/>
      <c r="Q106" s="85"/>
      <c r="R106" s="85"/>
      <c r="S106" s="85"/>
      <c r="T106" s="85"/>
      <c r="U106" s="85"/>
      <c r="V106" s="85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/>
      <c r="AQ106" s="79"/>
      <c r="AR106" s="79"/>
      <c r="AS106" s="79"/>
      <c r="AT106" s="79"/>
      <c r="AU106" s="79"/>
      <c r="AV106" s="79"/>
      <c r="AW106" s="79"/>
      <c r="AX106" s="79"/>
      <c r="AY106" s="79"/>
      <c r="AZ106" s="79"/>
      <c r="BA106" s="79"/>
      <c r="BB106" s="79"/>
      <c r="BC106" s="79"/>
      <c r="BD106" s="79"/>
      <c r="BE106" s="79"/>
      <c r="BF106" s="79"/>
      <c r="BG106" s="79"/>
      <c r="BH106" s="79"/>
      <c r="BI106" s="79"/>
      <c r="BJ106" s="79"/>
      <c r="BK106" s="79"/>
      <c r="BL106" s="79"/>
      <c r="BM106" s="79"/>
      <c r="BN106" s="79"/>
      <c r="BO106" s="79"/>
      <c r="BP106" s="79"/>
      <c r="BQ106" s="79"/>
      <c r="BR106" s="79"/>
      <c r="BS106" s="79"/>
      <c r="BT106" s="79"/>
      <c r="BU106" s="79"/>
      <c r="BV106" s="79"/>
      <c r="BW106" s="79"/>
      <c r="BX106" s="79"/>
      <c r="BY106" s="79"/>
      <c r="BZ106" s="79"/>
      <c r="CA106" s="79"/>
      <c r="CB106" s="79"/>
      <c r="CC106" s="79"/>
      <c r="CD106" s="79"/>
      <c r="CE106" s="79"/>
      <c r="CF106" s="79"/>
      <c r="CG106" s="79"/>
      <c r="CH106" s="79"/>
      <c r="CI106" s="79"/>
      <c r="CJ106" s="79"/>
      <c r="CK106" s="79"/>
      <c r="CL106" s="79"/>
      <c r="CM106" s="79"/>
      <c r="CN106" s="79"/>
      <c r="CO106" s="79"/>
      <c r="CP106" s="79"/>
      <c r="CQ106" s="79"/>
      <c r="CR106" s="79"/>
      <c r="CS106" s="79"/>
      <c r="CT106" s="79"/>
      <c r="CU106" s="79"/>
      <c r="CV106" s="79"/>
      <c r="CW106" s="79"/>
      <c r="CX106" s="79"/>
      <c r="CY106" s="79"/>
      <c r="CZ106" s="79"/>
      <c r="DA106" s="79"/>
      <c r="DB106" s="79"/>
      <c r="DC106" s="79"/>
      <c r="DD106" s="79"/>
      <c r="DE106" s="79"/>
      <c r="DF106" s="79"/>
      <c r="DG106" s="79"/>
      <c r="DH106" s="79"/>
      <c r="DI106" s="79"/>
      <c r="DJ106" s="79"/>
      <c r="DK106" s="79"/>
      <c r="DL106" s="79"/>
      <c r="DM106" s="79"/>
      <c r="DN106" s="79"/>
      <c r="DO106" s="79"/>
      <c r="DP106" s="79"/>
      <c r="DQ106" s="79"/>
      <c r="DR106" s="79"/>
      <c r="DS106" s="79"/>
    </row>
    <row r="107" spans="1:123" s="80" customFormat="1" ht="21.95" customHeight="1">
      <c r="A107" s="448" t="s">
        <v>587</v>
      </c>
      <c r="B107" s="3129">
        <f>'예산세출(화정)'!Q161</f>
        <v>19200000</v>
      </c>
      <c r="C107" s="3130">
        <f t="shared" si="52"/>
        <v>2.2039005136350849E-3</v>
      </c>
      <c r="D107" s="3129">
        <f>'예산세출(화정)'!R161</f>
        <v>14400000</v>
      </c>
      <c r="E107" s="3130">
        <f t="shared" si="53"/>
        <v>1.4086768034658145E-3</v>
      </c>
      <c r="F107" s="3131">
        <f t="shared" si="54"/>
        <v>4800000</v>
      </c>
      <c r="G107" s="3132"/>
      <c r="H107" s="87"/>
      <c r="I107" s="85"/>
      <c r="J107" s="85"/>
      <c r="K107" s="85"/>
      <c r="L107" s="85"/>
      <c r="M107" s="85"/>
      <c r="N107" s="79"/>
      <c r="O107" s="79"/>
      <c r="P107" s="85"/>
      <c r="Q107" s="85"/>
      <c r="R107" s="85"/>
      <c r="S107" s="85"/>
      <c r="T107" s="85"/>
      <c r="U107" s="85"/>
      <c r="V107" s="85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  <c r="AI107" s="79"/>
      <c r="AJ107" s="79"/>
      <c r="AK107" s="79"/>
      <c r="AL107" s="79"/>
      <c r="AM107" s="79"/>
      <c r="AN107" s="79"/>
      <c r="AO107" s="79"/>
      <c r="AP107" s="79"/>
      <c r="AQ107" s="79"/>
      <c r="AR107" s="79"/>
      <c r="AS107" s="79"/>
      <c r="AT107" s="79"/>
      <c r="AU107" s="79"/>
      <c r="AV107" s="79"/>
      <c r="AW107" s="79"/>
      <c r="AX107" s="79"/>
      <c r="AY107" s="79"/>
      <c r="AZ107" s="79"/>
      <c r="BA107" s="79"/>
      <c r="BB107" s="79"/>
      <c r="BC107" s="79"/>
      <c r="BD107" s="79"/>
      <c r="BE107" s="79"/>
      <c r="BF107" s="79"/>
      <c r="BG107" s="79"/>
      <c r="BH107" s="79"/>
      <c r="BI107" s="79"/>
      <c r="BJ107" s="79"/>
      <c r="BK107" s="79"/>
      <c r="BL107" s="79"/>
      <c r="BM107" s="79"/>
      <c r="BN107" s="79"/>
      <c r="BO107" s="79"/>
      <c r="BP107" s="79"/>
      <c r="BQ107" s="79"/>
      <c r="BR107" s="79"/>
      <c r="BS107" s="79"/>
      <c r="BT107" s="79"/>
      <c r="BU107" s="79"/>
      <c r="BV107" s="79"/>
      <c r="BW107" s="79"/>
      <c r="BX107" s="79"/>
      <c r="BY107" s="79"/>
      <c r="BZ107" s="79"/>
      <c r="CA107" s="79"/>
      <c r="CB107" s="79"/>
      <c r="CC107" s="79"/>
      <c r="CD107" s="79"/>
      <c r="CE107" s="79"/>
      <c r="CF107" s="79"/>
      <c r="CG107" s="79"/>
      <c r="CH107" s="79"/>
      <c r="CI107" s="79"/>
      <c r="CJ107" s="79"/>
      <c r="CK107" s="79"/>
      <c r="CL107" s="79"/>
      <c r="CM107" s="79"/>
      <c r="CN107" s="79"/>
      <c r="CO107" s="79"/>
      <c r="CP107" s="79"/>
      <c r="CQ107" s="79"/>
      <c r="CR107" s="79"/>
      <c r="CS107" s="79"/>
      <c r="CT107" s="79"/>
      <c r="CU107" s="79"/>
      <c r="CV107" s="79"/>
      <c r="CW107" s="79"/>
      <c r="CX107" s="79"/>
      <c r="CY107" s="79"/>
      <c r="CZ107" s="79"/>
      <c r="DA107" s="79"/>
      <c r="DB107" s="79"/>
      <c r="DC107" s="79"/>
      <c r="DD107" s="79"/>
      <c r="DE107" s="79"/>
      <c r="DF107" s="79"/>
      <c r="DG107" s="79"/>
      <c r="DH107" s="79"/>
      <c r="DI107" s="79"/>
      <c r="DJ107" s="79"/>
      <c r="DK107" s="79"/>
      <c r="DL107" s="79"/>
      <c r="DM107" s="79"/>
      <c r="DN107" s="79"/>
      <c r="DO107" s="79"/>
      <c r="DP107" s="79"/>
      <c r="DQ107" s="79"/>
      <c r="DR107" s="79"/>
      <c r="DS107" s="79"/>
    </row>
    <row r="108" spans="1:123" s="80" customFormat="1" ht="21.95" customHeight="1">
      <c r="A108" s="453" t="s">
        <v>499</v>
      </c>
      <c r="B108" s="3136">
        <f>'예산세출(백마)'!Q110</f>
        <v>8400000</v>
      </c>
      <c r="C108" s="3133">
        <f t="shared" si="52"/>
        <v>9.6420647471534961E-4</v>
      </c>
      <c r="D108" s="3136">
        <f>'예산세출(토당)'!R213</f>
        <v>0</v>
      </c>
      <c r="E108" s="3133">
        <f t="shared" si="53"/>
        <v>0</v>
      </c>
      <c r="F108" s="3137">
        <f t="shared" si="54"/>
        <v>8400000</v>
      </c>
      <c r="G108" s="3138"/>
      <c r="H108" s="87"/>
      <c r="I108" s="85"/>
      <c r="J108" s="85"/>
      <c r="K108" s="85"/>
      <c r="L108" s="85"/>
      <c r="M108" s="85"/>
      <c r="N108" s="79"/>
      <c r="O108" s="79"/>
      <c r="P108" s="85"/>
      <c r="Q108" s="85"/>
      <c r="R108" s="85"/>
      <c r="S108" s="85"/>
      <c r="T108" s="85"/>
      <c r="U108" s="85"/>
      <c r="V108" s="85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  <c r="AL108" s="79"/>
      <c r="AM108" s="79"/>
      <c r="AN108" s="79"/>
      <c r="AO108" s="79"/>
      <c r="AP108" s="79"/>
      <c r="AQ108" s="79"/>
      <c r="AR108" s="79"/>
      <c r="AS108" s="79"/>
      <c r="AT108" s="79"/>
      <c r="AU108" s="79"/>
      <c r="AV108" s="79"/>
      <c r="AW108" s="79"/>
      <c r="AX108" s="79"/>
      <c r="AY108" s="79"/>
      <c r="AZ108" s="79"/>
      <c r="BA108" s="79"/>
      <c r="BB108" s="79"/>
      <c r="BC108" s="79"/>
      <c r="BD108" s="79"/>
      <c r="BE108" s="79"/>
      <c r="BF108" s="79"/>
      <c r="BG108" s="79"/>
      <c r="BH108" s="79"/>
      <c r="BI108" s="79"/>
      <c r="BJ108" s="79"/>
      <c r="BK108" s="79"/>
      <c r="BL108" s="79"/>
      <c r="BM108" s="79"/>
      <c r="BN108" s="79"/>
      <c r="BO108" s="79"/>
      <c r="BP108" s="79"/>
      <c r="BQ108" s="79"/>
      <c r="BR108" s="79"/>
      <c r="BS108" s="79"/>
      <c r="BT108" s="79"/>
      <c r="BU108" s="79"/>
      <c r="BV108" s="79"/>
      <c r="BW108" s="79"/>
      <c r="BX108" s="79"/>
      <c r="BY108" s="79"/>
      <c r="BZ108" s="79"/>
      <c r="CA108" s="79"/>
      <c r="CB108" s="79"/>
      <c r="CC108" s="79"/>
      <c r="CD108" s="79"/>
      <c r="CE108" s="79"/>
      <c r="CF108" s="79"/>
      <c r="CG108" s="79"/>
      <c r="CH108" s="79"/>
      <c r="CI108" s="79"/>
      <c r="CJ108" s="79"/>
      <c r="CK108" s="79"/>
      <c r="CL108" s="79"/>
      <c r="CM108" s="79"/>
      <c r="CN108" s="79"/>
      <c r="CO108" s="79"/>
      <c r="CP108" s="79"/>
      <c r="CQ108" s="79"/>
      <c r="CR108" s="79"/>
      <c r="CS108" s="79"/>
      <c r="CT108" s="79"/>
      <c r="CU108" s="79"/>
      <c r="CV108" s="79"/>
      <c r="CW108" s="79"/>
      <c r="CX108" s="79"/>
      <c r="CY108" s="79"/>
      <c r="CZ108" s="79"/>
      <c r="DA108" s="79"/>
      <c r="DB108" s="79"/>
      <c r="DC108" s="79"/>
      <c r="DD108" s="79"/>
      <c r="DE108" s="79"/>
      <c r="DF108" s="79"/>
      <c r="DG108" s="79"/>
      <c r="DH108" s="79"/>
      <c r="DI108" s="79"/>
      <c r="DJ108" s="79"/>
      <c r="DK108" s="79"/>
      <c r="DL108" s="79"/>
      <c r="DM108" s="79"/>
      <c r="DN108" s="79"/>
      <c r="DO108" s="79"/>
      <c r="DP108" s="79"/>
      <c r="DQ108" s="79"/>
      <c r="DR108" s="79"/>
      <c r="DS108" s="79"/>
    </row>
    <row r="109" spans="1:123" s="80" customFormat="1" ht="21.95" customHeight="1">
      <c r="A109" s="457" t="s">
        <v>531</v>
      </c>
      <c r="B109" s="3144">
        <f>'예산세출(능곡)'!Q98</f>
        <v>2784000</v>
      </c>
      <c r="C109" s="3130">
        <f t="shared" si="52"/>
        <v>3.1956557447708727E-4</v>
      </c>
      <c r="D109" s="3129">
        <f>'예산세출(능곡)'!R98</f>
        <v>1080000</v>
      </c>
      <c r="E109" s="3130">
        <f t="shared" si="53"/>
        <v>1.0565076025993608E-4</v>
      </c>
      <c r="F109" s="3131">
        <f t="shared" si="54"/>
        <v>1704000</v>
      </c>
      <c r="G109" s="3132"/>
      <c r="H109" s="87"/>
      <c r="I109" s="85"/>
      <c r="J109" s="85"/>
      <c r="K109" s="85"/>
      <c r="L109" s="85"/>
      <c r="M109" s="85"/>
      <c r="N109" s="79"/>
      <c r="O109" s="79"/>
      <c r="P109" s="85"/>
      <c r="Q109" s="85"/>
      <c r="R109" s="85"/>
      <c r="S109" s="85"/>
      <c r="T109" s="85"/>
      <c r="U109" s="85"/>
      <c r="V109" s="85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  <c r="AI109" s="79"/>
      <c r="AJ109" s="79"/>
      <c r="AK109" s="79"/>
      <c r="AL109" s="79"/>
      <c r="AM109" s="79"/>
      <c r="AN109" s="79"/>
      <c r="AO109" s="79"/>
      <c r="AP109" s="79"/>
      <c r="AQ109" s="79"/>
      <c r="AR109" s="79"/>
      <c r="AS109" s="79"/>
      <c r="AT109" s="79"/>
      <c r="AU109" s="79"/>
      <c r="AV109" s="79"/>
      <c r="AW109" s="79"/>
      <c r="AX109" s="79"/>
      <c r="AY109" s="79"/>
      <c r="AZ109" s="79"/>
      <c r="BA109" s="79"/>
      <c r="BB109" s="79"/>
      <c r="BC109" s="79"/>
      <c r="BD109" s="79"/>
      <c r="BE109" s="79"/>
      <c r="BF109" s="79"/>
      <c r="BG109" s="79"/>
      <c r="BH109" s="79"/>
      <c r="BI109" s="79"/>
      <c r="BJ109" s="79"/>
      <c r="BK109" s="79"/>
      <c r="BL109" s="79"/>
      <c r="BM109" s="79"/>
      <c r="BN109" s="79"/>
      <c r="BO109" s="79"/>
      <c r="BP109" s="79"/>
      <c r="BQ109" s="79"/>
      <c r="BR109" s="79"/>
      <c r="BS109" s="79"/>
      <c r="BT109" s="79"/>
      <c r="BU109" s="79"/>
      <c r="BV109" s="79"/>
      <c r="BW109" s="79"/>
      <c r="BX109" s="79"/>
      <c r="BY109" s="79"/>
      <c r="BZ109" s="79"/>
      <c r="CA109" s="79"/>
      <c r="CB109" s="79"/>
      <c r="CC109" s="79"/>
      <c r="CD109" s="79"/>
      <c r="CE109" s="79"/>
      <c r="CF109" s="79"/>
      <c r="CG109" s="79"/>
      <c r="CH109" s="79"/>
      <c r="CI109" s="79"/>
      <c r="CJ109" s="79"/>
      <c r="CK109" s="79"/>
      <c r="CL109" s="79"/>
      <c r="CM109" s="79"/>
      <c r="CN109" s="79"/>
      <c r="CO109" s="79"/>
      <c r="CP109" s="79"/>
      <c r="CQ109" s="79"/>
      <c r="CR109" s="79"/>
      <c r="CS109" s="79"/>
      <c r="CT109" s="79"/>
      <c r="CU109" s="79"/>
      <c r="CV109" s="79"/>
      <c r="CW109" s="79"/>
      <c r="CX109" s="79"/>
      <c r="CY109" s="79"/>
      <c r="CZ109" s="79"/>
      <c r="DA109" s="79"/>
      <c r="DB109" s="79"/>
      <c r="DC109" s="79"/>
      <c r="DD109" s="79"/>
      <c r="DE109" s="79"/>
      <c r="DF109" s="79"/>
      <c r="DG109" s="79"/>
      <c r="DH109" s="79"/>
      <c r="DI109" s="79"/>
      <c r="DJ109" s="79"/>
      <c r="DK109" s="79"/>
      <c r="DL109" s="79"/>
      <c r="DM109" s="79"/>
      <c r="DN109" s="79"/>
      <c r="DO109" s="79"/>
      <c r="DP109" s="79"/>
      <c r="DQ109" s="79"/>
      <c r="DR109" s="79"/>
      <c r="DS109" s="79"/>
    </row>
    <row r="110" spans="1:123" s="80" customFormat="1" ht="21.95" customHeight="1">
      <c r="A110" s="278" t="s">
        <v>795</v>
      </c>
      <c r="B110" s="279">
        <f>SUM(B111:B116)</f>
        <v>0</v>
      </c>
      <c r="C110" s="280">
        <f t="shared" si="51"/>
        <v>0</v>
      </c>
      <c r="D110" s="279">
        <f>SUM(D111:D116)</f>
        <v>65391000</v>
      </c>
      <c r="E110" s="280">
        <f t="shared" ref="E110:E112" si="56">+D110/$D$7</f>
        <v>6.3968600594050745E-3</v>
      </c>
      <c r="F110" s="281">
        <f>SUM(F111:F116)</f>
        <v>-65391000</v>
      </c>
      <c r="G110" s="282">
        <f t="shared" ref="G110:G112" si="57">+F110/D110</f>
        <v>-1</v>
      </c>
      <c r="H110" s="87"/>
      <c r="I110" s="85"/>
      <c r="J110" s="85"/>
      <c r="K110" s="85"/>
      <c r="L110" s="85"/>
      <c r="M110" s="85"/>
      <c r="N110" s="79"/>
      <c r="O110" s="79"/>
      <c r="P110" s="85"/>
      <c r="Q110" s="85"/>
      <c r="R110" s="85"/>
      <c r="S110" s="85"/>
      <c r="T110" s="85"/>
      <c r="U110" s="85"/>
      <c r="V110" s="85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  <c r="AL110" s="79"/>
      <c r="AM110" s="79"/>
      <c r="AN110" s="79"/>
      <c r="AO110" s="79"/>
      <c r="AP110" s="79"/>
      <c r="AQ110" s="79"/>
      <c r="AR110" s="79"/>
      <c r="AS110" s="79"/>
      <c r="AT110" s="79"/>
      <c r="AU110" s="79"/>
      <c r="AV110" s="79"/>
      <c r="AW110" s="79"/>
      <c r="AX110" s="79"/>
      <c r="AY110" s="79"/>
      <c r="AZ110" s="79"/>
      <c r="BA110" s="79"/>
      <c r="BB110" s="79"/>
      <c r="BC110" s="79"/>
      <c r="BD110" s="79"/>
      <c r="BE110" s="79"/>
      <c r="BF110" s="79"/>
      <c r="BG110" s="79"/>
      <c r="BH110" s="79"/>
      <c r="BI110" s="79"/>
      <c r="BJ110" s="79"/>
      <c r="BK110" s="79"/>
      <c r="BL110" s="79"/>
      <c r="BM110" s="79"/>
      <c r="BN110" s="79"/>
      <c r="BO110" s="79"/>
      <c r="BP110" s="79"/>
      <c r="BQ110" s="79"/>
      <c r="BR110" s="79"/>
      <c r="BS110" s="79"/>
      <c r="BT110" s="79"/>
      <c r="BU110" s="79"/>
      <c r="BV110" s="79"/>
      <c r="BW110" s="79"/>
      <c r="BX110" s="79"/>
      <c r="BY110" s="79"/>
      <c r="BZ110" s="79"/>
      <c r="CA110" s="79"/>
      <c r="CB110" s="79"/>
      <c r="CC110" s="79"/>
      <c r="CD110" s="79"/>
      <c r="CE110" s="79"/>
      <c r="CF110" s="79"/>
      <c r="CG110" s="79"/>
      <c r="CH110" s="79"/>
      <c r="CI110" s="79"/>
      <c r="CJ110" s="79"/>
      <c r="CK110" s="79"/>
      <c r="CL110" s="79"/>
      <c r="CM110" s="79"/>
      <c r="CN110" s="79"/>
      <c r="CO110" s="79"/>
      <c r="CP110" s="79"/>
      <c r="CQ110" s="79"/>
      <c r="CR110" s="79"/>
      <c r="CS110" s="79"/>
      <c r="CT110" s="79"/>
      <c r="CU110" s="79"/>
      <c r="CV110" s="79"/>
      <c r="CW110" s="79"/>
      <c r="CX110" s="79"/>
      <c r="CY110" s="79"/>
      <c r="CZ110" s="79"/>
      <c r="DA110" s="79"/>
      <c r="DB110" s="79"/>
      <c r="DC110" s="79"/>
      <c r="DD110" s="79"/>
      <c r="DE110" s="79"/>
      <c r="DF110" s="79"/>
      <c r="DG110" s="79"/>
      <c r="DH110" s="79"/>
      <c r="DI110" s="79"/>
      <c r="DJ110" s="79"/>
      <c r="DK110" s="79"/>
      <c r="DL110" s="79"/>
      <c r="DM110" s="79"/>
      <c r="DN110" s="79"/>
      <c r="DO110" s="79"/>
      <c r="DP110" s="79"/>
      <c r="DQ110" s="79"/>
      <c r="DR110" s="79"/>
      <c r="DS110" s="79"/>
    </row>
    <row r="111" spans="1:123" s="80" customFormat="1" ht="21.95" customHeight="1">
      <c r="A111" s="454" t="s">
        <v>578</v>
      </c>
      <c r="B111" s="3139">
        <v>0</v>
      </c>
      <c r="C111" s="3140">
        <f t="shared" si="51"/>
        <v>0</v>
      </c>
      <c r="D111" s="3139">
        <v>0</v>
      </c>
      <c r="E111" s="3140">
        <f t="shared" si="56"/>
        <v>0</v>
      </c>
      <c r="F111" s="3141">
        <f>+B111-D111</f>
        <v>0</v>
      </c>
      <c r="G111" s="3142"/>
      <c r="H111" s="87"/>
      <c r="I111" s="85"/>
      <c r="J111" s="85"/>
      <c r="K111" s="85"/>
      <c r="L111" s="85"/>
      <c r="M111" s="85"/>
      <c r="N111" s="79"/>
      <c r="O111" s="79"/>
      <c r="P111" s="85"/>
      <c r="Q111" s="85"/>
      <c r="R111" s="85"/>
      <c r="S111" s="85"/>
      <c r="T111" s="85"/>
      <c r="U111" s="85"/>
      <c r="V111" s="85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  <c r="AL111" s="79"/>
      <c r="AM111" s="79"/>
      <c r="AN111" s="79"/>
      <c r="AO111" s="79"/>
      <c r="AP111" s="79"/>
      <c r="AQ111" s="79"/>
      <c r="AR111" s="79"/>
      <c r="AS111" s="79"/>
      <c r="AT111" s="79"/>
      <c r="AU111" s="79"/>
      <c r="AV111" s="79"/>
      <c r="AW111" s="79"/>
      <c r="AX111" s="79"/>
      <c r="AY111" s="79"/>
      <c r="AZ111" s="79"/>
      <c r="BA111" s="79"/>
      <c r="BB111" s="79"/>
      <c r="BC111" s="79"/>
      <c r="BD111" s="79"/>
      <c r="BE111" s="79"/>
      <c r="BF111" s="79"/>
      <c r="BG111" s="79"/>
      <c r="BH111" s="79"/>
      <c r="BI111" s="79"/>
      <c r="BJ111" s="79"/>
      <c r="BK111" s="79"/>
      <c r="BL111" s="79"/>
      <c r="BM111" s="79"/>
      <c r="BN111" s="79"/>
      <c r="BO111" s="79"/>
      <c r="BP111" s="79"/>
      <c r="BQ111" s="79"/>
      <c r="BR111" s="79"/>
      <c r="BS111" s="79"/>
      <c r="BT111" s="79"/>
      <c r="BU111" s="79"/>
      <c r="BV111" s="79"/>
      <c r="BW111" s="79"/>
      <c r="BX111" s="79"/>
      <c r="BY111" s="79"/>
      <c r="BZ111" s="79"/>
      <c r="CA111" s="79"/>
      <c r="CB111" s="79"/>
      <c r="CC111" s="79"/>
      <c r="CD111" s="79"/>
      <c r="CE111" s="79"/>
      <c r="CF111" s="79"/>
      <c r="CG111" s="79"/>
      <c r="CH111" s="79"/>
      <c r="CI111" s="79"/>
      <c r="CJ111" s="79"/>
      <c r="CK111" s="79"/>
      <c r="CL111" s="79"/>
      <c r="CM111" s="79"/>
      <c r="CN111" s="79"/>
      <c r="CO111" s="79"/>
      <c r="CP111" s="79"/>
      <c r="CQ111" s="79"/>
      <c r="CR111" s="79"/>
      <c r="CS111" s="79"/>
      <c r="CT111" s="79"/>
      <c r="CU111" s="79"/>
      <c r="CV111" s="79"/>
      <c r="CW111" s="79"/>
      <c r="CX111" s="79"/>
      <c r="CY111" s="79"/>
      <c r="CZ111" s="79"/>
      <c r="DA111" s="79"/>
      <c r="DB111" s="79"/>
      <c r="DC111" s="79"/>
      <c r="DD111" s="79"/>
      <c r="DE111" s="79"/>
      <c r="DF111" s="79"/>
      <c r="DG111" s="79"/>
      <c r="DH111" s="79"/>
      <c r="DI111" s="79"/>
      <c r="DJ111" s="79"/>
      <c r="DK111" s="79"/>
      <c r="DL111" s="79"/>
      <c r="DM111" s="79"/>
      <c r="DN111" s="79"/>
      <c r="DO111" s="79"/>
      <c r="DP111" s="79"/>
      <c r="DQ111" s="79"/>
      <c r="DR111" s="79"/>
      <c r="DS111" s="79"/>
    </row>
    <row r="112" spans="1:123" s="80" customFormat="1" ht="21.95" customHeight="1">
      <c r="A112" s="439" t="s">
        <v>582</v>
      </c>
      <c r="B112" s="3129">
        <v>0</v>
      </c>
      <c r="C112" s="3130">
        <f t="shared" si="51"/>
        <v>0</v>
      </c>
      <c r="D112" s="3129">
        <v>20720000</v>
      </c>
      <c r="E112" s="3130">
        <f t="shared" si="56"/>
        <v>2.0269294005424775E-3</v>
      </c>
      <c r="F112" s="3131">
        <f>+B112-D112</f>
        <v>-20720000</v>
      </c>
      <c r="G112" s="3132">
        <f t="shared" si="57"/>
        <v>-1</v>
      </c>
      <c r="H112" s="87"/>
      <c r="I112" s="85"/>
      <c r="J112" s="85"/>
      <c r="K112" s="85"/>
      <c r="L112" s="85"/>
      <c r="M112" s="85"/>
      <c r="N112" s="79"/>
      <c r="O112" s="79"/>
      <c r="P112" s="85"/>
      <c r="Q112" s="85"/>
      <c r="R112" s="85"/>
      <c r="S112" s="85"/>
      <c r="T112" s="85"/>
      <c r="U112" s="85"/>
      <c r="V112" s="85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  <c r="AL112" s="79"/>
      <c r="AM112" s="79"/>
      <c r="AN112" s="79"/>
      <c r="AO112" s="79"/>
      <c r="AP112" s="79"/>
      <c r="AQ112" s="79"/>
      <c r="AR112" s="79"/>
      <c r="AS112" s="79"/>
      <c r="AT112" s="79"/>
      <c r="AU112" s="79"/>
      <c r="AV112" s="79"/>
      <c r="AW112" s="79"/>
      <c r="AX112" s="79"/>
      <c r="AY112" s="79"/>
      <c r="AZ112" s="79"/>
      <c r="BA112" s="79"/>
      <c r="BB112" s="79"/>
      <c r="BC112" s="79"/>
      <c r="BD112" s="79"/>
      <c r="BE112" s="79"/>
      <c r="BF112" s="79"/>
      <c r="BG112" s="79"/>
      <c r="BH112" s="79"/>
      <c r="BI112" s="79"/>
      <c r="BJ112" s="79"/>
      <c r="BK112" s="79"/>
      <c r="BL112" s="79"/>
      <c r="BM112" s="79"/>
      <c r="BN112" s="79"/>
      <c r="BO112" s="79"/>
      <c r="BP112" s="79"/>
      <c r="BQ112" s="79"/>
      <c r="BR112" s="79"/>
      <c r="BS112" s="79"/>
      <c r="BT112" s="79"/>
      <c r="BU112" s="79"/>
      <c r="BV112" s="79"/>
      <c r="BW112" s="79"/>
      <c r="BX112" s="79"/>
      <c r="BY112" s="79"/>
      <c r="BZ112" s="79"/>
      <c r="CA112" s="79"/>
      <c r="CB112" s="79"/>
      <c r="CC112" s="79"/>
      <c r="CD112" s="79"/>
      <c r="CE112" s="79"/>
      <c r="CF112" s="79"/>
      <c r="CG112" s="79"/>
      <c r="CH112" s="79"/>
      <c r="CI112" s="79"/>
      <c r="CJ112" s="79"/>
      <c r="CK112" s="79"/>
      <c r="CL112" s="79"/>
      <c r="CM112" s="79"/>
      <c r="CN112" s="79"/>
      <c r="CO112" s="79"/>
      <c r="CP112" s="79"/>
      <c r="CQ112" s="79"/>
      <c r="CR112" s="79"/>
      <c r="CS112" s="79"/>
      <c r="CT112" s="79"/>
      <c r="CU112" s="79"/>
      <c r="CV112" s="79"/>
      <c r="CW112" s="79"/>
      <c r="CX112" s="79"/>
      <c r="CY112" s="79"/>
      <c r="CZ112" s="79"/>
      <c r="DA112" s="79"/>
      <c r="DB112" s="79"/>
      <c r="DC112" s="79"/>
      <c r="DD112" s="79"/>
      <c r="DE112" s="79"/>
      <c r="DF112" s="79"/>
      <c r="DG112" s="79"/>
      <c r="DH112" s="79"/>
      <c r="DI112" s="79"/>
      <c r="DJ112" s="79"/>
      <c r="DK112" s="79"/>
      <c r="DL112" s="79"/>
      <c r="DM112" s="79"/>
      <c r="DN112" s="79"/>
      <c r="DO112" s="79"/>
      <c r="DP112" s="79"/>
      <c r="DQ112" s="79"/>
      <c r="DR112" s="79"/>
      <c r="DS112" s="79"/>
    </row>
    <row r="113" spans="1:123" s="80" customFormat="1" ht="21.95" customHeight="1">
      <c r="A113" s="439" t="s">
        <v>584</v>
      </c>
      <c r="B113" s="3129">
        <v>0</v>
      </c>
      <c r="C113" s="3130">
        <f t="shared" ref="C113:C118" si="58">+B113/$B$7</f>
        <v>0</v>
      </c>
      <c r="D113" s="3129">
        <v>37081000</v>
      </c>
      <c r="E113" s="3130">
        <f t="shared" ref="E113:E118" si="59">+D113/$D$7</f>
        <v>3.6274405937024908E-3</v>
      </c>
      <c r="F113" s="3131">
        <f t="shared" ref="F113:F116" si="60">+B113-D113</f>
        <v>-37081000</v>
      </c>
      <c r="G113" s="3132">
        <f t="shared" ref="G113:G119" si="61">+F113/D113</f>
        <v>-1</v>
      </c>
      <c r="H113" s="87"/>
      <c r="I113" s="85"/>
      <c r="J113" s="85"/>
      <c r="K113" s="85"/>
      <c r="L113" s="85"/>
      <c r="M113" s="85"/>
      <c r="N113" s="79"/>
      <c r="O113" s="79"/>
      <c r="P113" s="85"/>
      <c r="Q113" s="85"/>
      <c r="R113" s="85"/>
      <c r="S113" s="85"/>
      <c r="T113" s="85"/>
      <c r="U113" s="85"/>
      <c r="V113" s="85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  <c r="AX113" s="79"/>
      <c r="AY113" s="79"/>
      <c r="AZ113" s="79"/>
      <c r="BA113" s="79"/>
      <c r="BB113" s="79"/>
      <c r="BC113" s="79"/>
      <c r="BD113" s="79"/>
      <c r="BE113" s="79"/>
      <c r="BF113" s="79"/>
      <c r="BG113" s="79"/>
      <c r="BH113" s="79"/>
      <c r="BI113" s="79"/>
      <c r="BJ113" s="79"/>
      <c r="BK113" s="79"/>
      <c r="BL113" s="79"/>
      <c r="BM113" s="79"/>
      <c r="BN113" s="79"/>
      <c r="BO113" s="79"/>
      <c r="BP113" s="79"/>
      <c r="BQ113" s="79"/>
      <c r="BR113" s="79"/>
      <c r="BS113" s="79"/>
      <c r="BT113" s="79"/>
      <c r="BU113" s="79"/>
      <c r="BV113" s="79"/>
      <c r="BW113" s="79"/>
      <c r="BX113" s="79"/>
      <c r="BY113" s="79"/>
      <c r="BZ113" s="79"/>
      <c r="CA113" s="79"/>
      <c r="CB113" s="79"/>
      <c r="CC113" s="79"/>
      <c r="CD113" s="79"/>
      <c r="CE113" s="79"/>
      <c r="CF113" s="79"/>
      <c r="CG113" s="79"/>
      <c r="CH113" s="79"/>
      <c r="CI113" s="79"/>
      <c r="CJ113" s="79"/>
      <c r="CK113" s="79"/>
      <c r="CL113" s="79"/>
      <c r="CM113" s="79"/>
      <c r="CN113" s="79"/>
      <c r="CO113" s="79"/>
      <c r="CP113" s="79"/>
      <c r="CQ113" s="79"/>
      <c r="CR113" s="79"/>
      <c r="CS113" s="79"/>
      <c r="CT113" s="79"/>
      <c r="CU113" s="79"/>
      <c r="CV113" s="79"/>
      <c r="CW113" s="79"/>
      <c r="CX113" s="79"/>
      <c r="CY113" s="79"/>
      <c r="CZ113" s="79"/>
      <c r="DA113" s="79"/>
      <c r="DB113" s="79"/>
      <c r="DC113" s="79"/>
      <c r="DD113" s="79"/>
      <c r="DE113" s="79"/>
      <c r="DF113" s="79"/>
      <c r="DG113" s="79"/>
      <c r="DH113" s="79"/>
      <c r="DI113" s="79"/>
      <c r="DJ113" s="79"/>
      <c r="DK113" s="79"/>
      <c r="DL113" s="79"/>
      <c r="DM113" s="79"/>
      <c r="DN113" s="79"/>
      <c r="DO113" s="79"/>
      <c r="DP113" s="79"/>
      <c r="DQ113" s="79"/>
      <c r="DR113" s="79"/>
      <c r="DS113" s="79"/>
    </row>
    <row r="114" spans="1:123" s="80" customFormat="1" ht="21.95" customHeight="1">
      <c r="A114" s="448" t="s">
        <v>583</v>
      </c>
      <c r="B114" s="3129">
        <v>0</v>
      </c>
      <c r="C114" s="3130">
        <f t="shared" si="58"/>
        <v>0</v>
      </c>
      <c r="D114" s="3129">
        <v>0</v>
      </c>
      <c r="E114" s="3130">
        <f t="shared" si="59"/>
        <v>0</v>
      </c>
      <c r="F114" s="3131">
        <f t="shared" si="60"/>
        <v>0</v>
      </c>
      <c r="G114" s="3132"/>
      <c r="H114" s="87"/>
      <c r="I114" s="85"/>
      <c r="J114" s="85"/>
      <c r="K114" s="85"/>
      <c r="L114" s="85"/>
      <c r="M114" s="85"/>
      <c r="N114" s="79"/>
      <c r="O114" s="79"/>
      <c r="P114" s="85"/>
      <c r="Q114" s="85"/>
      <c r="R114" s="85"/>
      <c r="S114" s="85"/>
      <c r="T114" s="85"/>
      <c r="U114" s="85"/>
      <c r="V114" s="85"/>
      <c r="W114" s="79"/>
      <c r="X114" s="79"/>
      <c r="Y114" s="79"/>
      <c r="Z114" s="79"/>
      <c r="AA114" s="79"/>
      <c r="AB114" s="79"/>
      <c r="AC114" s="79"/>
      <c r="AD114" s="79"/>
      <c r="AE114" s="79"/>
      <c r="AF114" s="79"/>
      <c r="AG114" s="79"/>
      <c r="AH114" s="79"/>
      <c r="AI114" s="79"/>
      <c r="AJ114" s="79"/>
      <c r="AK114" s="79"/>
      <c r="AL114" s="79"/>
      <c r="AM114" s="79"/>
      <c r="AN114" s="79"/>
      <c r="AO114" s="79"/>
      <c r="AP114" s="79"/>
      <c r="AQ114" s="79"/>
      <c r="AR114" s="79"/>
      <c r="AS114" s="79"/>
      <c r="AT114" s="79"/>
      <c r="AU114" s="79"/>
      <c r="AV114" s="79"/>
      <c r="AW114" s="79"/>
      <c r="AX114" s="79"/>
      <c r="AY114" s="79"/>
      <c r="AZ114" s="79"/>
      <c r="BA114" s="79"/>
      <c r="BB114" s="79"/>
      <c r="BC114" s="79"/>
      <c r="BD114" s="79"/>
      <c r="BE114" s="79"/>
      <c r="BF114" s="79"/>
      <c r="BG114" s="79"/>
      <c r="BH114" s="79"/>
      <c r="BI114" s="79"/>
      <c r="BJ114" s="79"/>
      <c r="BK114" s="79"/>
      <c r="BL114" s="79"/>
      <c r="BM114" s="79"/>
      <c r="BN114" s="79"/>
      <c r="BO114" s="79"/>
      <c r="BP114" s="79"/>
      <c r="BQ114" s="79"/>
      <c r="BR114" s="79"/>
      <c r="BS114" s="79"/>
      <c r="BT114" s="79"/>
      <c r="BU114" s="79"/>
      <c r="BV114" s="79"/>
      <c r="BW114" s="79"/>
      <c r="BX114" s="79"/>
      <c r="BY114" s="79"/>
      <c r="BZ114" s="79"/>
      <c r="CA114" s="79"/>
      <c r="CB114" s="79"/>
      <c r="CC114" s="79"/>
      <c r="CD114" s="79"/>
      <c r="CE114" s="79"/>
      <c r="CF114" s="79"/>
      <c r="CG114" s="79"/>
      <c r="CH114" s="79"/>
      <c r="CI114" s="79"/>
      <c r="CJ114" s="79"/>
      <c r="CK114" s="79"/>
      <c r="CL114" s="79"/>
      <c r="CM114" s="79"/>
      <c r="CN114" s="79"/>
      <c r="CO114" s="79"/>
      <c r="CP114" s="79"/>
      <c r="CQ114" s="79"/>
      <c r="CR114" s="79"/>
      <c r="CS114" s="79"/>
      <c r="CT114" s="79"/>
      <c r="CU114" s="79"/>
      <c r="CV114" s="79"/>
      <c r="CW114" s="79"/>
      <c r="CX114" s="79"/>
      <c r="CY114" s="79"/>
      <c r="CZ114" s="79"/>
      <c r="DA114" s="79"/>
      <c r="DB114" s="79"/>
      <c r="DC114" s="79"/>
      <c r="DD114" s="79"/>
      <c r="DE114" s="79"/>
      <c r="DF114" s="79"/>
      <c r="DG114" s="79"/>
      <c r="DH114" s="79"/>
      <c r="DI114" s="79"/>
      <c r="DJ114" s="79"/>
      <c r="DK114" s="79"/>
      <c r="DL114" s="79"/>
      <c r="DM114" s="79"/>
      <c r="DN114" s="79"/>
      <c r="DO114" s="79"/>
      <c r="DP114" s="79"/>
      <c r="DQ114" s="79"/>
      <c r="DR114" s="79"/>
      <c r="DS114" s="79"/>
    </row>
    <row r="115" spans="1:123" s="80" customFormat="1" ht="21.95" customHeight="1">
      <c r="A115" s="448" t="s">
        <v>438</v>
      </c>
      <c r="B115" s="3129">
        <v>0</v>
      </c>
      <c r="C115" s="3130">
        <f t="shared" si="58"/>
        <v>0</v>
      </c>
      <c r="D115" s="3129">
        <v>3510000</v>
      </c>
      <c r="E115" s="3130">
        <f t="shared" si="59"/>
        <v>3.4336497084479228E-4</v>
      </c>
      <c r="F115" s="3131">
        <f t="shared" si="60"/>
        <v>-3510000</v>
      </c>
      <c r="G115" s="3132">
        <f t="shared" si="61"/>
        <v>-1</v>
      </c>
      <c r="H115" s="87"/>
      <c r="I115" s="85"/>
      <c r="J115" s="85"/>
      <c r="K115" s="85"/>
      <c r="L115" s="85"/>
      <c r="M115" s="85"/>
      <c r="N115" s="79"/>
      <c r="O115" s="79"/>
      <c r="P115" s="85"/>
      <c r="Q115" s="85"/>
      <c r="R115" s="85"/>
      <c r="S115" s="85"/>
      <c r="T115" s="85"/>
      <c r="U115" s="85"/>
      <c r="V115" s="85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  <c r="AL115" s="79"/>
      <c r="AM115" s="79"/>
      <c r="AN115" s="79"/>
      <c r="AO115" s="79"/>
      <c r="AP115" s="79"/>
      <c r="AQ115" s="79"/>
      <c r="AR115" s="79"/>
      <c r="AS115" s="79"/>
      <c r="AT115" s="79"/>
      <c r="AU115" s="79"/>
      <c r="AV115" s="79"/>
      <c r="AW115" s="79"/>
      <c r="AX115" s="79"/>
      <c r="AY115" s="79"/>
      <c r="AZ115" s="79"/>
      <c r="BA115" s="79"/>
      <c r="BB115" s="79"/>
      <c r="BC115" s="79"/>
      <c r="BD115" s="79"/>
      <c r="BE115" s="79"/>
      <c r="BF115" s="79"/>
      <c r="BG115" s="79"/>
      <c r="BH115" s="79"/>
      <c r="BI115" s="79"/>
      <c r="BJ115" s="79"/>
      <c r="BK115" s="79"/>
      <c r="BL115" s="79"/>
      <c r="BM115" s="79"/>
      <c r="BN115" s="79"/>
      <c r="BO115" s="79"/>
      <c r="BP115" s="79"/>
      <c r="BQ115" s="79"/>
      <c r="BR115" s="79"/>
      <c r="BS115" s="79"/>
      <c r="BT115" s="79"/>
      <c r="BU115" s="79"/>
      <c r="BV115" s="79"/>
      <c r="BW115" s="79"/>
      <c r="BX115" s="79"/>
      <c r="BY115" s="79"/>
      <c r="BZ115" s="79"/>
      <c r="CA115" s="79"/>
      <c r="CB115" s="79"/>
      <c r="CC115" s="79"/>
      <c r="CD115" s="79"/>
      <c r="CE115" s="79"/>
      <c r="CF115" s="79"/>
      <c r="CG115" s="79"/>
      <c r="CH115" s="79"/>
      <c r="CI115" s="79"/>
      <c r="CJ115" s="79"/>
      <c r="CK115" s="79"/>
      <c r="CL115" s="79"/>
      <c r="CM115" s="79"/>
      <c r="CN115" s="79"/>
      <c r="CO115" s="79"/>
      <c r="CP115" s="79"/>
      <c r="CQ115" s="79"/>
      <c r="CR115" s="79"/>
      <c r="CS115" s="79"/>
      <c r="CT115" s="79"/>
      <c r="CU115" s="79"/>
      <c r="CV115" s="79"/>
      <c r="CW115" s="79"/>
      <c r="CX115" s="79"/>
      <c r="CY115" s="79"/>
      <c r="CZ115" s="79"/>
      <c r="DA115" s="79"/>
      <c r="DB115" s="79"/>
      <c r="DC115" s="79"/>
      <c r="DD115" s="79"/>
      <c r="DE115" s="79"/>
      <c r="DF115" s="79"/>
      <c r="DG115" s="79"/>
      <c r="DH115" s="79"/>
      <c r="DI115" s="79"/>
      <c r="DJ115" s="79"/>
      <c r="DK115" s="79"/>
      <c r="DL115" s="79"/>
      <c r="DM115" s="79"/>
      <c r="DN115" s="79"/>
      <c r="DO115" s="79"/>
      <c r="DP115" s="79"/>
      <c r="DQ115" s="79"/>
      <c r="DR115" s="79"/>
      <c r="DS115" s="79"/>
    </row>
    <row r="116" spans="1:123" s="80" customFormat="1" ht="21.95" customHeight="1">
      <c r="A116" s="457" t="s">
        <v>499</v>
      </c>
      <c r="B116" s="3144">
        <v>0</v>
      </c>
      <c r="C116" s="3134">
        <f t="shared" si="58"/>
        <v>0</v>
      </c>
      <c r="D116" s="3144">
        <v>4080000</v>
      </c>
      <c r="E116" s="3134">
        <f t="shared" si="59"/>
        <v>3.9912509431531409E-4</v>
      </c>
      <c r="F116" s="3145">
        <f t="shared" si="60"/>
        <v>-4080000</v>
      </c>
      <c r="G116" s="3135">
        <f t="shared" si="61"/>
        <v>-1</v>
      </c>
      <c r="H116" s="87"/>
      <c r="I116" s="85"/>
      <c r="J116" s="85"/>
      <c r="K116" s="85"/>
      <c r="L116" s="85"/>
      <c r="M116" s="85"/>
      <c r="N116" s="79"/>
      <c r="O116" s="79"/>
      <c r="P116" s="85"/>
      <c r="Q116" s="85"/>
      <c r="R116" s="85"/>
      <c r="S116" s="85"/>
      <c r="T116" s="85"/>
      <c r="U116" s="85"/>
      <c r="V116" s="85"/>
      <c r="W116" s="79"/>
      <c r="X116" s="79"/>
      <c r="Y116" s="79"/>
      <c r="Z116" s="79"/>
      <c r="AA116" s="79"/>
      <c r="AB116" s="79"/>
      <c r="AC116" s="79"/>
      <c r="AD116" s="79"/>
      <c r="AE116" s="79"/>
      <c r="AF116" s="79"/>
      <c r="AG116" s="79"/>
      <c r="AH116" s="79"/>
      <c r="AI116" s="79"/>
      <c r="AJ116" s="79"/>
      <c r="AK116" s="79"/>
      <c r="AL116" s="79"/>
      <c r="AM116" s="79"/>
      <c r="AN116" s="79"/>
      <c r="AO116" s="79"/>
      <c r="AP116" s="79"/>
      <c r="AQ116" s="79"/>
      <c r="AR116" s="79"/>
      <c r="AS116" s="79"/>
      <c r="AT116" s="79"/>
      <c r="AU116" s="79"/>
      <c r="AV116" s="79"/>
      <c r="AW116" s="79"/>
      <c r="AX116" s="79"/>
      <c r="AY116" s="79"/>
      <c r="AZ116" s="79"/>
      <c r="BA116" s="79"/>
      <c r="BB116" s="79"/>
      <c r="BC116" s="79"/>
      <c r="BD116" s="79"/>
      <c r="BE116" s="79"/>
      <c r="BF116" s="79"/>
      <c r="BG116" s="79"/>
      <c r="BH116" s="79"/>
      <c r="BI116" s="79"/>
      <c r="BJ116" s="79"/>
      <c r="BK116" s="79"/>
      <c r="BL116" s="79"/>
      <c r="BM116" s="79"/>
      <c r="BN116" s="79"/>
      <c r="BO116" s="79"/>
      <c r="BP116" s="79"/>
      <c r="BQ116" s="79"/>
      <c r="BR116" s="79"/>
      <c r="BS116" s="79"/>
      <c r="BT116" s="79"/>
      <c r="BU116" s="79"/>
      <c r="BV116" s="79"/>
      <c r="BW116" s="79"/>
      <c r="BX116" s="79"/>
      <c r="BY116" s="79"/>
      <c r="BZ116" s="79"/>
      <c r="CA116" s="79"/>
      <c r="CB116" s="79"/>
      <c r="CC116" s="79"/>
      <c r="CD116" s="79"/>
      <c r="CE116" s="79"/>
      <c r="CF116" s="79"/>
      <c r="CG116" s="79"/>
      <c r="CH116" s="79"/>
      <c r="CI116" s="79"/>
      <c r="CJ116" s="79"/>
      <c r="CK116" s="79"/>
      <c r="CL116" s="79"/>
      <c r="CM116" s="79"/>
      <c r="CN116" s="79"/>
      <c r="CO116" s="79"/>
      <c r="CP116" s="79"/>
      <c r="CQ116" s="79"/>
      <c r="CR116" s="79"/>
      <c r="CS116" s="79"/>
      <c r="CT116" s="79"/>
      <c r="CU116" s="79"/>
      <c r="CV116" s="79"/>
      <c r="CW116" s="79"/>
      <c r="CX116" s="79"/>
      <c r="CY116" s="79"/>
      <c r="CZ116" s="79"/>
      <c r="DA116" s="79"/>
      <c r="DB116" s="79"/>
      <c r="DC116" s="79"/>
      <c r="DD116" s="79"/>
      <c r="DE116" s="79"/>
      <c r="DF116" s="79"/>
      <c r="DG116" s="79"/>
      <c r="DH116" s="79"/>
      <c r="DI116" s="79"/>
      <c r="DJ116" s="79"/>
      <c r="DK116" s="79"/>
      <c r="DL116" s="79"/>
      <c r="DM116" s="79"/>
      <c r="DN116" s="79"/>
      <c r="DO116" s="79"/>
      <c r="DP116" s="79"/>
      <c r="DQ116" s="79"/>
      <c r="DR116" s="79"/>
      <c r="DS116" s="79"/>
    </row>
    <row r="117" spans="1:123" s="80" customFormat="1" ht="21.95" customHeight="1">
      <c r="A117" s="278" t="s">
        <v>2042</v>
      </c>
      <c r="B117" s="279">
        <f>SUM(B118:B118)</f>
        <v>50000000</v>
      </c>
      <c r="C117" s="280">
        <f t="shared" si="58"/>
        <v>5.7393242542580335E-3</v>
      </c>
      <c r="D117" s="279">
        <f>SUM(D118:D118)</f>
        <v>0</v>
      </c>
      <c r="E117" s="280">
        <f t="shared" si="59"/>
        <v>0</v>
      </c>
      <c r="F117" s="281">
        <f>SUM(F118:F118)</f>
        <v>50000000</v>
      </c>
      <c r="G117" s="282"/>
      <c r="H117" s="87"/>
      <c r="I117" s="85"/>
      <c r="J117" s="85"/>
      <c r="K117" s="85"/>
      <c r="L117" s="85"/>
      <c r="M117" s="85"/>
      <c r="N117" s="79"/>
      <c r="O117" s="79"/>
      <c r="P117" s="85"/>
      <c r="Q117" s="85"/>
      <c r="R117" s="85"/>
      <c r="S117" s="85"/>
      <c r="T117" s="85"/>
      <c r="U117" s="85"/>
      <c r="V117" s="85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79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79"/>
      <c r="BN117" s="79"/>
      <c r="BO117" s="79"/>
      <c r="BP117" s="79"/>
      <c r="BQ117" s="79"/>
      <c r="BR117" s="79"/>
      <c r="BS117" s="79"/>
      <c r="BT117" s="79"/>
      <c r="BU117" s="79"/>
      <c r="BV117" s="79"/>
      <c r="BW117" s="79"/>
      <c r="BX117" s="79"/>
      <c r="BY117" s="79"/>
      <c r="BZ117" s="79"/>
      <c r="CA117" s="79"/>
      <c r="CB117" s="79"/>
      <c r="CC117" s="79"/>
      <c r="CD117" s="79"/>
      <c r="CE117" s="79"/>
      <c r="CF117" s="79"/>
      <c r="CG117" s="79"/>
      <c r="CH117" s="79"/>
      <c r="CI117" s="79"/>
      <c r="CJ117" s="79"/>
      <c r="CK117" s="79"/>
      <c r="CL117" s="79"/>
      <c r="CM117" s="79"/>
      <c r="CN117" s="79"/>
      <c r="CO117" s="79"/>
      <c r="CP117" s="79"/>
      <c r="CQ117" s="79"/>
      <c r="CR117" s="79"/>
      <c r="CS117" s="79"/>
      <c r="CT117" s="79"/>
      <c r="CU117" s="79"/>
      <c r="CV117" s="79"/>
      <c r="CW117" s="79"/>
      <c r="CX117" s="79"/>
      <c r="CY117" s="79"/>
      <c r="CZ117" s="79"/>
      <c r="DA117" s="79"/>
      <c r="DB117" s="79"/>
      <c r="DC117" s="79"/>
      <c r="DD117" s="79"/>
      <c r="DE117" s="79"/>
      <c r="DF117" s="79"/>
      <c r="DG117" s="79"/>
      <c r="DH117" s="79"/>
      <c r="DI117" s="79"/>
      <c r="DJ117" s="79"/>
      <c r="DK117" s="79"/>
      <c r="DL117" s="79"/>
      <c r="DM117" s="79"/>
      <c r="DN117" s="79"/>
      <c r="DO117" s="79"/>
      <c r="DP117" s="79"/>
      <c r="DQ117" s="79"/>
      <c r="DR117" s="79"/>
      <c r="DS117" s="79"/>
    </row>
    <row r="118" spans="1:123" s="80" customFormat="1" ht="21.95" customHeight="1">
      <c r="A118" s="454" t="s">
        <v>585</v>
      </c>
      <c r="B118" s="3139">
        <f>'예산세출(토당)'!Q374</f>
        <v>50000000</v>
      </c>
      <c r="C118" s="3140">
        <f t="shared" si="58"/>
        <v>5.7393242542580335E-3</v>
      </c>
      <c r="D118" s="3139">
        <v>0</v>
      </c>
      <c r="E118" s="3140">
        <f t="shared" si="59"/>
        <v>0</v>
      </c>
      <c r="F118" s="3141">
        <f>+B118-D118</f>
        <v>50000000</v>
      </c>
      <c r="G118" s="3135"/>
      <c r="H118" s="87"/>
      <c r="I118" s="85"/>
      <c r="J118" s="85"/>
      <c r="K118" s="85"/>
      <c r="L118" s="85"/>
      <c r="M118" s="85"/>
      <c r="N118" s="79"/>
      <c r="O118" s="79"/>
      <c r="P118" s="85"/>
      <c r="Q118" s="85"/>
      <c r="R118" s="85"/>
      <c r="S118" s="85"/>
      <c r="T118" s="85"/>
      <c r="U118" s="85"/>
      <c r="V118" s="85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79"/>
      <c r="AT118" s="79"/>
      <c r="AU118" s="79"/>
      <c r="AV118" s="79"/>
      <c r="AW118" s="79"/>
      <c r="AX118" s="79"/>
      <c r="AY118" s="79"/>
      <c r="AZ118" s="79"/>
      <c r="BA118" s="79"/>
      <c r="BB118" s="79"/>
      <c r="BC118" s="79"/>
      <c r="BD118" s="79"/>
      <c r="BE118" s="79"/>
      <c r="BF118" s="79"/>
      <c r="BG118" s="79"/>
      <c r="BH118" s="79"/>
      <c r="BI118" s="79"/>
      <c r="BJ118" s="79"/>
      <c r="BK118" s="79"/>
      <c r="BL118" s="79"/>
      <c r="BM118" s="79"/>
      <c r="BN118" s="79"/>
      <c r="BO118" s="79"/>
      <c r="BP118" s="79"/>
      <c r="BQ118" s="79"/>
      <c r="BR118" s="79"/>
      <c r="BS118" s="79"/>
      <c r="BT118" s="79"/>
      <c r="BU118" s="79"/>
      <c r="BV118" s="79"/>
      <c r="BW118" s="79"/>
      <c r="BX118" s="79"/>
      <c r="BY118" s="79"/>
      <c r="BZ118" s="79"/>
      <c r="CA118" s="79"/>
      <c r="CB118" s="79"/>
      <c r="CC118" s="79"/>
      <c r="CD118" s="79"/>
      <c r="CE118" s="79"/>
      <c r="CF118" s="79"/>
      <c r="CG118" s="79"/>
      <c r="CH118" s="79"/>
      <c r="CI118" s="79"/>
      <c r="CJ118" s="79"/>
      <c r="CK118" s="79"/>
      <c r="CL118" s="79"/>
      <c r="CM118" s="79"/>
      <c r="CN118" s="79"/>
      <c r="CO118" s="79"/>
      <c r="CP118" s="79"/>
      <c r="CQ118" s="79"/>
      <c r="CR118" s="79"/>
      <c r="CS118" s="79"/>
      <c r="CT118" s="79"/>
      <c r="CU118" s="79"/>
      <c r="CV118" s="79"/>
      <c r="CW118" s="79"/>
      <c r="CX118" s="79"/>
      <c r="CY118" s="79"/>
      <c r="CZ118" s="79"/>
      <c r="DA118" s="79"/>
      <c r="DB118" s="79"/>
      <c r="DC118" s="79"/>
      <c r="DD118" s="79"/>
      <c r="DE118" s="79"/>
      <c r="DF118" s="79"/>
      <c r="DG118" s="79"/>
      <c r="DH118" s="79"/>
      <c r="DI118" s="79"/>
      <c r="DJ118" s="79"/>
      <c r="DK118" s="79"/>
      <c r="DL118" s="79"/>
      <c r="DM118" s="79"/>
      <c r="DN118" s="79"/>
      <c r="DO118" s="79"/>
      <c r="DP118" s="79"/>
      <c r="DQ118" s="79"/>
      <c r="DR118" s="79"/>
      <c r="DS118" s="79"/>
    </row>
    <row r="119" spans="1:123" s="80" customFormat="1" ht="21.95" customHeight="1">
      <c r="A119" s="278" t="s">
        <v>691</v>
      </c>
      <c r="B119" s="279">
        <f>SUM(B120:B131)</f>
        <v>2321000</v>
      </c>
      <c r="C119" s="280">
        <f t="shared" si="51"/>
        <v>2.6641943188265789E-4</v>
      </c>
      <c r="D119" s="279">
        <f>SUM(D120:D131)</f>
        <v>2164000</v>
      </c>
      <c r="E119" s="280">
        <f t="shared" si="11"/>
        <v>2.1169281963194601E-4</v>
      </c>
      <c r="F119" s="281">
        <f>SUM(F120:F131)</f>
        <v>157000</v>
      </c>
      <c r="G119" s="282">
        <f t="shared" si="61"/>
        <v>7.2550831792975973E-2</v>
      </c>
      <c r="H119" s="89"/>
      <c r="I119" s="85"/>
      <c r="J119" s="85"/>
      <c r="K119" s="85"/>
      <c r="L119" s="85"/>
      <c r="M119" s="85"/>
      <c r="N119" s="79"/>
      <c r="O119" s="79"/>
      <c r="P119" s="85"/>
      <c r="Q119" s="85"/>
      <c r="R119" s="85"/>
      <c r="S119" s="85"/>
      <c r="T119" s="85"/>
      <c r="U119" s="85"/>
      <c r="V119" s="85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/>
      <c r="AQ119" s="79"/>
      <c r="AR119" s="79"/>
      <c r="AS119" s="79"/>
      <c r="AT119" s="79"/>
      <c r="AU119" s="79"/>
      <c r="AV119" s="79"/>
      <c r="AW119" s="79"/>
      <c r="AX119" s="79"/>
      <c r="AY119" s="79"/>
      <c r="AZ119" s="79"/>
      <c r="BA119" s="79"/>
      <c r="BB119" s="79"/>
      <c r="BC119" s="79"/>
      <c r="BD119" s="79"/>
      <c r="BE119" s="79"/>
      <c r="BF119" s="79"/>
      <c r="BG119" s="79"/>
      <c r="BH119" s="79"/>
      <c r="BI119" s="79"/>
      <c r="BJ119" s="79"/>
      <c r="BK119" s="79"/>
      <c r="BL119" s="79"/>
      <c r="BM119" s="79"/>
      <c r="BN119" s="79"/>
      <c r="BO119" s="79"/>
      <c r="BP119" s="79"/>
      <c r="BQ119" s="79"/>
      <c r="BR119" s="79"/>
      <c r="BS119" s="79"/>
      <c r="BT119" s="79"/>
      <c r="BU119" s="79"/>
      <c r="BV119" s="79"/>
      <c r="BW119" s="79"/>
      <c r="BX119" s="79"/>
      <c r="BY119" s="79"/>
      <c r="BZ119" s="79"/>
      <c r="CA119" s="79"/>
      <c r="CB119" s="79"/>
      <c r="CC119" s="79"/>
      <c r="CD119" s="79"/>
      <c r="CE119" s="79"/>
      <c r="CF119" s="79"/>
      <c r="CG119" s="79"/>
      <c r="CH119" s="79"/>
      <c r="CI119" s="79"/>
      <c r="CJ119" s="79"/>
      <c r="CK119" s="79"/>
      <c r="CL119" s="79"/>
      <c r="CM119" s="79"/>
      <c r="CN119" s="79"/>
      <c r="CO119" s="79"/>
      <c r="CP119" s="79"/>
      <c r="CQ119" s="79"/>
      <c r="CR119" s="79"/>
      <c r="CS119" s="79"/>
      <c r="CT119" s="79"/>
      <c r="CU119" s="79"/>
      <c r="CV119" s="79"/>
      <c r="CW119" s="79"/>
      <c r="CX119" s="79"/>
      <c r="CY119" s="79"/>
      <c r="CZ119" s="79"/>
      <c r="DA119" s="79"/>
      <c r="DB119" s="79"/>
      <c r="DC119" s="79"/>
      <c r="DD119" s="79"/>
      <c r="DE119" s="79"/>
      <c r="DF119" s="79"/>
      <c r="DG119" s="79"/>
      <c r="DH119" s="79"/>
      <c r="DI119" s="79"/>
      <c r="DJ119" s="79"/>
      <c r="DK119" s="79"/>
      <c r="DL119" s="79"/>
      <c r="DM119" s="79"/>
      <c r="DN119" s="79"/>
      <c r="DO119" s="79"/>
      <c r="DP119" s="79"/>
      <c r="DQ119" s="79"/>
      <c r="DR119" s="79"/>
      <c r="DS119" s="79"/>
    </row>
    <row r="120" spans="1:123" s="80" customFormat="1" ht="21.95" customHeight="1">
      <c r="A120" s="437" t="s">
        <v>601</v>
      </c>
      <c r="B120" s="3136">
        <f>'예산세출(사무국)'!P314</f>
        <v>900000</v>
      </c>
      <c r="C120" s="3133">
        <f t="shared" si="51"/>
        <v>1.0330783657664461E-4</v>
      </c>
      <c r="D120" s="3136">
        <v>720000</v>
      </c>
      <c r="E120" s="3133">
        <f t="shared" si="11"/>
        <v>7.0433840173290729E-5</v>
      </c>
      <c r="F120" s="3137">
        <f>+B120-D120</f>
        <v>180000</v>
      </c>
      <c r="G120" s="3132">
        <f t="shared" si="36"/>
        <v>0.25</v>
      </c>
      <c r="H120" s="87"/>
      <c r="I120" s="85"/>
      <c r="J120" s="85"/>
      <c r="K120" s="85"/>
      <c r="L120" s="85"/>
      <c r="M120" s="85"/>
      <c r="N120" s="79"/>
      <c r="O120" s="79"/>
      <c r="P120" s="85"/>
      <c r="Q120" s="85"/>
      <c r="R120" s="85"/>
      <c r="S120" s="85"/>
      <c r="T120" s="85"/>
      <c r="U120" s="85"/>
      <c r="V120" s="85"/>
      <c r="W120" s="79"/>
      <c r="X120" s="79"/>
      <c r="Y120" s="79"/>
      <c r="Z120" s="79"/>
      <c r="AA120" s="79"/>
      <c r="AB120" s="79"/>
      <c r="AC120" s="79"/>
      <c r="AD120" s="79"/>
      <c r="AE120" s="79"/>
      <c r="AF120" s="79"/>
      <c r="AG120" s="79"/>
      <c r="AH120" s="79"/>
      <c r="AI120" s="79"/>
      <c r="AJ120" s="79"/>
      <c r="AK120" s="79"/>
      <c r="AL120" s="79"/>
      <c r="AM120" s="79"/>
      <c r="AN120" s="79"/>
      <c r="AO120" s="79"/>
      <c r="AP120" s="79"/>
      <c r="AQ120" s="79"/>
      <c r="AR120" s="79"/>
      <c r="AS120" s="79"/>
      <c r="AT120" s="79"/>
      <c r="AU120" s="79"/>
      <c r="AV120" s="79"/>
      <c r="AW120" s="79"/>
      <c r="AX120" s="79"/>
      <c r="AY120" s="79"/>
      <c r="AZ120" s="79"/>
      <c r="BA120" s="79"/>
      <c r="BB120" s="79"/>
      <c r="BC120" s="79"/>
      <c r="BD120" s="79"/>
      <c r="BE120" s="79"/>
      <c r="BF120" s="79"/>
      <c r="BG120" s="79"/>
      <c r="BH120" s="79"/>
      <c r="BI120" s="79"/>
      <c r="BJ120" s="79"/>
      <c r="BK120" s="79"/>
      <c r="BL120" s="79"/>
      <c r="BM120" s="79"/>
      <c r="BN120" s="79"/>
      <c r="BO120" s="79"/>
      <c r="BP120" s="79"/>
      <c r="BQ120" s="79"/>
      <c r="BR120" s="79"/>
      <c r="BS120" s="79"/>
      <c r="BT120" s="79"/>
      <c r="BU120" s="79"/>
      <c r="BV120" s="79"/>
      <c r="BW120" s="79"/>
      <c r="BX120" s="79"/>
      <c r="BY120" s="79"/>
      <c r="BZ120" s="79"/>
      <c r="CA120" s="79"/>
      <c r="CB120" s="79"/>
      <c r="CC120" s="79"/>
      <c r="CD120" s="79"/>
      <c r="CE120" s="79"/>
      <c r="CF120" s="79"/>
      <c r="CG120" s="79"/>
      <c r="CH120" s="79"/>
      <c r="CI120" s="79"/>
      <c r="CJ120" s="79"/>
      <c r="CK120" s="79"/>
      <c r="CL120" s="79"/>
      <c r="CM120" s="79"/>
      <c r="CN120" s="79"/>
      <c r="CO120" s="79"/>
      <c r="CP120" s="79"/>
      <c r="CQ120" s="79"/>
      <c r="CR120" s="79"/>
      <c r="CS120" s="79"/>
      <c r="CT120" s="79"/>
      <c r="CU120" s="79"/>
      <c r="CV120" s="79"/>
      <c r="CW120" s="79"/>
      <c r="CX120" s="79"/>
      <c r="CY120" s="79"/>
      <c r="CZ120" s="79"/>
      <c r="DA120" s="79"/>
      <c r="DB120" s="79"/>
      <c r="DC120" s="79"/>
      <c r="DD120" s="79"/>
      <c r="DE120" s="79"/>
      <c r="DF120" s="79"/>
      <c r="DG120" s="79"/>
      <c r="DH120" s="79"/>
      <c r="DI120" s="79"/>
      <c r="DJ120" s="79"/>
      <c r="DK120" s="79"/>
      <c r="DL120" s="79"/>
      <c r="DM120" s="79"/>
      <c r="DN120" s="79"/>
      <c r="DO120" s="79"/>
      <c r="DP120" s="79"/>
      <c r="DQ120" s="79"/>
      <c r="DR120" s="79"/>
      <c r="DS120" s="79"/>
    </row>
    <row r="121" spans="1:123" s="80" customFormat="1" ht="21.95" customHeight="1">
      <c r="A121" s="439" t="s">
        <v>591</v>
      </c>
      <c r="B121" s="3129">
        <f>'예산세출(마두)'!P324</f>
        <v>200000</v>
      </c>
      <c r="C121" s="3130">
        <f t="shared" si="51"/>
        <v>2.2957297017032135E-5</v>
      </c>
      <c r="D121" s="3129">
        <f>'예산세출(마두)'!P324</f>
        <v>200000</v>
      </c>
      <c r="E121" s="3130">
        <f>+D121/$D$7</f>
        <v>1.9564955603691867E-5</v>
      </c>
      <c r="F121" s="3131">
        <f>+B121-D121</f>
        <v>0</v>
      </c>
      <c r="G121" s="3132">
        <f t="shared" si="36"/>
        <v>0</v>
      </c>
      <c r="H121" s="87"/>
      <c r="I121" s="85"/>
      <c r="J121" s="85"/>
      <c r="K121" s="85"/>
      <c r="L121" s="85"/>
      <c r="M121" s="85"/>
      <c r="N121" s="79"/>
      <c r="O121" s="79"/>
      <c r="P121" s="85"/>
      <c r="Q121" s="85"/>
      <c r="R121" s="85"/>
      <c r="S121" s="85"/>
      <c r="T121" s="85"/>
      <c r="U121" s="85"/>
      <c r="V121" s="85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79"/>
      <c r="AO121" s="79"/>
      <c r="AP121" s="79"/>
      <c r="AQ121" s="79"/>
      <c r="AR121" s="79"/>
      <c r="AS121" s="79"/>
      <c r="AT121" s="79"/>
      <c r="AU121" s="79"/>
      <c r="AV121" s="79"/>
      <c r="AW121" s="79"/>
      <c r="AX121" s="79"/>
      <c r="AY121" s="79"/>
      <c r="AZ121" s="79"/>
      <c r="BA121" s="79"/>
      <c r="BB121" s="79"/>
      <c r="BC121" s="79"/>
      <c r="BD121" s="79"/>
      <c r="BE121" s="79"/>
      <c r="BF121" s="79"/>
      <c r="BG121" s="79"/>
      <c r="BH121" s="79"/>
      <c r="BI121" s="79"/>
      <c r="BJ121" s="79"/>
      <c r="BK121" s="79"/>
      <c r="BL121" s="79"/>
      <c r="BM121" s="79"/>
      <c r="BN121" s="79"/>
      <c r="BO121" s="79"/>
      <c r="BP121" s="79"/>
      <c r="BQ121" s="79"/>
      <c r="BR121" s="79"/>
      <c r="BS121" s="79"/>
      <c r="BT121" s="79"/>
      <c r="BU121" s="79"/>
      <c r="BV121" s="79"/>
      <c r="BW121" s="79"/>
      <c r="BX121" s="79"/>
      <c r="BY121" s="79"/>
      <c r="BZ121" s="79"/>
      <c r="CA121" s="79"/>
      <c r="CB121" s="79"/>
      <c r="CC121" s="79"/>
      <c r="CD121" s="79"/>
      <c r="CE121" s="79"/>
      <c r="CF121" s="79"/>
      <c r="CG121" s="79"/>
      <c r="CH121" s="79"/>
      <c r="CI121" s="79"/>
      <c r="CJ121" s="79"/>
      <c r="CK121" s="79"/>
      <c r="CL121" s="79"/>
      <c r="CM121" s="79"/>
      <c r="CN121" s="79"/>
      <c r="CO121" s="79"/>
      <c r="CP121" s="79"/>
      <c r="CQ121" s="79"/>
      <c r="CR121" s="79"/>
      <c r="CS121" s="79"/>
      <c r="CT121" s="79"/>
      <c r="CU121" s="79"/>
      <c r="CV121" s="79"/>
      <c r="CW121" s="79"/>
      <c r="CX121" s="79"/>
      <c r="CY121" s="79"/>
      <c r="CZ121" s="79"/>
      <c r="DA121" s="79"/>
      <c r="DB121" s="79"/>
      <c r="DC121" s="79"/>
      <c r="DD121" s="79"/>
      <c r="DE121" s="79"/>
      <c r="DF121" s="79"/>
      <c r="DG121" s="79"/>
      <c r="DH121" s="79"/>
      <c r="DI121" s="79"/>
      <c r="DJ121" s="79"/>
      <c r="DK121" s="79"/>
      <c r="DL121" s="79"/>
      <c r="DM121" s="79"/>
      <c r="DN121" s="79"/>
      <c r="DO121" s="79"/>
      <c r="DP121" s="79"/>
      <c r="DQ121" s="79"/>
      <c r="DR121" s="79"/>
      <c r="DS121" s="79"/>
    </row>
    <row r="122" spans="1:123" s="80" customFormat="1" ht="21.95" customHeight="1">
      <c r="A122" s="462" t="s">
        <v>602</v>
      </c>
      <c r="B122" s="3159">
        <f>'예산세출(진로)'!Q106</f>
        <v>240000</v>
      </c>
      <c r="C122" s="3160">
        <f t="shared" si="51"/>
        <v>2.7548756420438562E-5</v>
      </c>
      <c r="D122" s="3159">
        <f>'예산세출(진로)'!R106</f>
        <v>240000</v>
      </c>
      <c r="E122" s="3161">
        <f t="shared" ref="E122:E130" si="62">+D122/$D$7</f>
        <v>2.3477946724430241E-5</v>
      </c>
      <c r="F122" s="3162">
        <f t="shared" ref="F122:F131" si="63">+B122-D122</f>
        <v>0</v>
      </c>
      <c r="G122" s="3163">
        <f t="shared" si="36"/>
        <v>0</v>
      </c>
      <c r="H122" s="87"/>
      <c r="I122" s="85"/>
      <c r="J122" s="85"/>
      <c r="K122" s="85"/>
      <c r="L122" s="85"/>
      <c r="M122" s="85"/>
      <c r="N122" s="79"/>
      <c r="O122" s="79"/>
      <c r="P122" s="85"/>
      <c r="Q122" s="85"/>
      <c r="R122" s="85"/>
      <c r="S122" s="85"/>
      <c r="T122" s="85"/>
      <c r="U122" s="85"/>
      <c r="V122" s="85"/>
      <c r="W122" s="79"/>
      <c r="X122" s="79"/>
      <c r="Y122" s="79"/>
      <c r="Z122" s="79"/>
      <c r="AA122" s="79"/>
      <c r="AB122" s="79"/>
      <c r="AC122" s="79"/>
      <c r="AD122" s="79"/>
      <c r="AE122" s="79"/>
      <c r="AF122" s="79"/>
      <c r="AG122" s="79"/>
      <c r="AH122" s="79"/>
      <c r="AI122" s="79"/>
      <c r="AJ122" s="79"/>
      <c r="AK122" s="79"/>
      <c r="AL122" s="79"/>
      <c r="AM122" s="79"/>
      <c r="AN122" s="79"/>
      <c r="AO122" s="79"/>
      <c r="AP122" s="79"/>
      <c r="AQ122" s="79"/>
      <c r="AR122" s="79"/>
      <c r="AS122" s="79"/>
      <c r="AT122" s="79"/>
      <c r="AU122" s="79"/>
      <c r="AV122" s="79"/>
      <c r="AW122" s="79"/>
      <c r="AX122" s="79"/>
      <c r="AY122" s="79"/>
      <c r="AZ122" s="79"/>
      <c r="BA122" s="79"/>
      <c r="BB122" s="79"/>
      <c r="BC122" s="79"/>
      <c r="BD122" s="79"/>
      <c r="BE122" s="79"/>
      <c r="BF122" s="79"/>
      <c r="BG122" s="79"/>
      <c r="BH122" s="79"/>
      <c r="BI122" s="79"/>
      <c r="BJ122" s="79"/>
      <c r="BK122" s="79"/>
      <c r="BL122" s="79"/>
      <c r="BM122" s="79"/>
      <c r="BN122" s="79"/>
      <c r="BO122" s="79"/>
      <c r="BP122" s="79"/>
      <c r="BQ122" s="79"/>
      <c r="BR122" s="79"/>
      <c r="BS122" s="79"/>
      <c r="BT122" s="79"/>
      <c r="BU122" s="79"/>
      <c r="BV122" s="79"/>
      <c r="BW122" s="79"/>
      <c r="BX122" s="79"/>
      <c r="BY122" s="79"/>
      <c r="BZ122" s="79"/>
      <c r="CA122" s="79"/>
      <c r="CB122" s="79"/>
      <c r="CC122" s="79"/>
      <c r="CD122" s="79"/>
      <c r="CE122" s="79"/>
      <c r="CF122" s="79"/>
      <c r="CG122" s="79"/>
      <c r="CH122" s="79"/>
      <c r="CI122" s="79"/>
      <c r="CJ122" s="79"/>
      <c r="CK122" s="79"/>
      <c r="CL122" s="79"/>
      <c r="CM122" s="79"/>
      <c r="CN122" s="79"/>
      <c r="CO122" s="79"/>
      <c r="CP122" s="79"/>
      <c r="CQ122" s="79"/>
      <c r="CR122" s="79"/>
      <c r="CS122" s="79"/>
      <c r="CT122" s="79"/>
      <c r="CU122" s="79"/>
      <c r="CV122" s="79"/>
      <c r="CW122" s="79"/>
      <c r="CX122" s="79"/>
      <c r="CY122" s="79"/>
      <c r="CZ122" s="79"/>
      <c r="DA122" s="79"/>
      <c r="DB122" s="79"/>
      <c r="DC122" s="79"/>
      <c r="DD122" s="79"/>
      <c r="DE122" s="79"/>
      <c r="DF122" s="79"/>
      <c r="DG122" s="79"/>
      <c r="DH122" s="79"/>
      <c r="DI122" s="79"/>
      <c r="DJ122" s="79"/>
      <c r="DK122" s="79"/>
      <c r="DL122" s="79"/>
      <c r="DM122" s="79"/>
      <c r="DN122" s="79"/>
      <c r="DO122" s="79"/>
      <c r="DP122" s="79"/>
      <c r="DQ122" s="79"/>
      <c r="DR122" s="79"/>
      <c r="DS122" s="79"/>
    </row>
    <row r="123" spans="1:123" s="80" customFormat="1" ht="21.95" customHeight="1">
      <c r="A123" s="439" t="s">
        <v>592</v>
      </c>
      <c r="B123" s="3129">
        <f>'예산세출(성사)'!P283</f>
        <v>100000</v>
      </c>
      <c r="C123" s="3130">
        <f t="shared" si="51"/>
        <v>1.1478648508516067E-5</v>
      </c>
      <c r="D123" s="3129">
        <f>'예산세출(성사)'!P283</f>
        <v>100000</v>
      </c>
      <c r="E123" s="3130">
        <f t="shared" si="62"/>
        <v>9.7824778018459337E-6</v>
      </c>
      <c r="F123" s="3131">
        <f t="shared" si="63"/>
        <v>0</v>
      </c>
      <c r="G123" s="3132">
        <f t="shared" si="36"/>
        <v>0</v>
      </c>
      <c r="H123" s="87"/>
      <c r="I123" s="85"/>
      <c r="J123" s="85"/>
      <c r="K123" s="85"/>
      <c r="L123" s="85"/>
      <c r="M123" s="85"/>
      <c r="N123" s="79"/>
      <c r="O123" s="79"/>
      <c r="P123" s="85"/>
      <c r="Q123" s="85"/>
      <c r="R123" s="85"/>
      <c r="S123" s="85"/>
      <c r="T123" s="85"/>
      <c r="U123" s="85"/>
      <c r="V123" s="85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  <c r="AI123" s="79"/>
      <c r="AJ123" s="79"/>
      <c r="AK123" s="79"/>
      <c r="AL123" s="79"/>
      <c r="AM123" s="79"/>
      <c r="AN123" s="79"/>
      <c r="AO123" s="79"/>
      <c r="AP123" s="79"/>
      <c r="AQ123" s="79"/>
      <c r="AR123" s="79"/>
      <c r="AS123" s="79"/>
      <c r="AT123" s="79"/>
      <c r="AU123" s="79"/>
      <c r="AV123" s="79"/>
      <c r="AW123" s="79"/>
      <c r="AX123" s="79"/>
      <c r="AY123" s="79"/>
      <c r="AZ123" s="79"/>
      <c r="BA123" s="79"/>
      <c r="BB123" s="79"/>
      <c r="BC123" s="79"/>
      <c r="BD123" s="79"/>
      <c r="BE123" s="79"/>
      <c r="BF123" s="79"/>
      <c r="BG123" s="79"/>
      <c r="BH123" s="79"/>
      <c r="BI123" s="79"/>
      <c r="BJ123" s="79"/>
      <c r="BK123" s="79"/>
      <c r="BL123" s="79"/>
      <c r="BM123" s="79"/>
      <c r="BN123" s="79"/>
      <c r="BO123" s="79"/>
      <c r="BP123" s="79"/>
      <c r="BQ123" s="79"/>
      <c r="BR123" s="79"/>
      <c r="BS123" s="79"/>
      <c r="BT123" s="79"/>
      <c r="BU123" s="79"/>
      <c r="BV123" s="79"/>
      <c r="BW123" s="79"/>
      <c r="BX123" s="79"/>
      <c r="BY123" s="79"/>
      <c r="BZ123" s="79"/>
      <c r="CA123" s="79"/>
      <c r="CB123" s="79"/>
      <c r="CC123" s="79"/>
      <c r="CD123" s="79"/>
      <c r="CE123" s="79"/>
      <c r="CF123" s="79"/>
      <c r="CG123" s="79"/>
      <c r="CH123" s="79"/>
      <c r="CI123" s="79"/>
      <c r="CJ123" s="79"/>
      <c r="CK123" s="79"/>
      <c r="CL123" s="79"/>
      <c r="CM123" s="79"/>
      <c r="CN123" s="79"/>
      <c r="CO123" s="79"/>
      <c r="CP123" s="79"/>
      <c r="CQ123" s="79"/>
      <c r="CR123" s="79"/>
      <c r="CS123" s="79"/>
      <c r="CT123" s="79"/>
      <c r="CU123" s="79"/>
      <c r="CV123" s="79"/>
      <c r="CW123" s="79"/>
      <c r="CX123" s="79"/>
      <c r="CY123" s="79"/>
      <c r="CZ123" s="79"/>
      <c r="DA123" s="79"/>
      <c r="DB123" s="79"/>
      <c r="DC123" s="79"/>
      <c r="DD123" s="79"/>
      <c r="DE123" s="79"/>
      <c r="DF123" s="79"/>
      <c r="DG123" s="79"/>
      <c r="DH123" s="79"/>
      <c r="DI123" s="79"/>
      <c r="DJ123" s="79"/>
      <c r="DK123" s="79"/>
      <c r="DL123" s="79"/>
      <c r="DM123" s="79"/>
      <c r="DN123" s="79"/>
      <c r="DO123" s="79"/>
      <c r="DP123" s="79"/>
      <c r="DQ123" s="79"/>
      <c r="DR123" s="79"/>
      <c r="DS123" s="79"/>
    </row>
    <row r="124" spans="1:123" s="80" customFormat="1" ht="21.95" customHeight="1">
      <c r="A124" s="437" t="s">
        <v>312</v>
      </c>
      <c r="B124" s="3136">
        <f>'예산세출(탄현)'!P204</f>
        <v>70000</v>
      </c>
      <c r="C124" s="3133">
        <f t="shared" si="51"/>
        <v>8.0350539559612472E-6</v>
      </c>
      <c r="D124" s="3136">
        <v>100000</v>
      </c>
      <c r="E124" s="3133">
        <f t="shared" si="62"/>
        <v>9.7824778018459337E-6</v>
      </c>
      <c r="F124" s="3137">
        <f t="shared" si="63"/>
        <v>-30000</v>
      </c>
      <c r="G124" s="3138">
        <f t="shared" si="36"/>
        <v>-0.3</v>
      </c>
      <c r="H124" s="87"/>
      <c r="I124" s="85"/>
      <c r="J124" s="85"/>
      <c r="K124" s="85"/>
      <c r="L124" s="85"/>
      <c r="M124" s="85"/>
      <c r="N124" s="79"/>
      <c r="O124" s="79"/>
      <c r="P124" s="85"/>
      <c r="Q124" s="85"/>
      <c r="R124" s="85"/>
      <c r="S124" s="85"/>
      <c r="T124" s="85"/>
      <c r="U124" s="85"/>
      <c r="V124" s="85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  <c r="AL124" s="79"/>
      <c r="AM124" s="79"/>
      <c r="AN124" s="79"/>
      <c r="AO124" s="79"/>
      <c r="AP124" s="79"/>
      <c r="AQ124" s="79"/>
      <c r="AR124" s="79"/>
      <c r="AS124" s="79"/>
      <c r="AT124" s="79"/>
      <c r="AU124" s="79"/>
      <c r="AV124" s="79"/>
      <c r="AW124" s="79"/>
      <c r="AX124" s="79"/>
      <c r="AY124" s="79"/>
      <c r="AZ124" s="79"/>
      <c r="BA124" s="79"/>
      <c r="BB124" s="79"/>
      <c r="BC124" s="79"/>
      <c r="BD124" s="79"/>
      <c r="BE124" s="79"/>
      <c r="BF124" s="79"/>
      <c r="BG124" s="79"/>
      <c r="BH124" s="79"/>
      <c r="BI124" s="79"/>
      <c r="BJ124" s="79"/>
      <c r="BK124" s="79"/>
      <c r="BL124" s="79"/>
      <c r="BM124" s="79"/>
      <c r="BN124" s="79"/>
      <c r="BO124" s="79"/>
      <c r="BP124" s="79"/>
      <c r="BQ124" s="79"/>
      <c r="BR124" s="79"/>
      <c r="BS124" s="79"/>
      <c r="BT124" s="79"/>
      <c r="BU124" s="79"/>
      <c r="BV124" s="79"/>
      <c r="BW124" s="79"/>
      <c r="BX124" s="79"/>
      <c r="BY124" s="79"/>
      <c r="BZ124" s="79"/>
      <c r="CA124" s="79"/>
      <c r="CB124" s="79"/>
      <c r="CC124" s="79"/>
      <c r="CD124" s="79"/>
      <c r="CE124" s="79"/>
      <c r="CF124" s="79"/>
      <c r="CG124" s="79"/>
      <c r="CH124" s="79"/>
      <c r="CI124" s="79"/>
      <c r="CJ124" s="79"/>
      <c r="CK124" s="79"/>
      <c r="CL124" s="79"/>
      <c r="CM124" s="79"/>
      <c r="CN124" s="79"/>
      <c r="CO124" s="79"/>
      <c r="CP124" s="79"/>
      <c r="CQ124" s="79"/>
      <c r="CR124" s="79"/>
      <c r="CS124" s="79"/>
      <c r="CT124" s="79"/>
      <c r="CU124" s="79"/>
      <c r="CV124" s="79"/>
      <c r="CW124" s="79"/>
      <c r="CX124" s="79"/>
      <c r="CY124" s="79"/>
      <c r="CZ124" s="79"/>
      <c r="DA124" s="79"/>
      <c r="DB124" s="79"/>
      <c r="DC124" s="79"/>
      <c r="DD124" s="79"/>
      <c r="DE124" s="79"/>
      <c r="DF124" s="79"/>
      <c r="DG124" s="79"/>
      <c r="DH124" s="79"/>
      <c r="DI124" s="79"/>
      <c r="DJ124" s="79"/>
      <c r="DK124" s="79"/>
      <c r="DL124" s="79"/>
      <c r="DM124" s="79"/>
      <c r="DN124" s="79"/>
      <c r="DO124" s="79"/>
      <c r="DP124" s="79"/>
      <c r="DQ124" s="79"/>
      <c r="DR124" s="79"/>
      <c r="DS124" s="79"/>
    </row>
    <row r="125" spans="1:123" s="80" customFormat="1" ht="21.95" customHeight="1">
      <c r="A125" s="439" t="s">
        <v>589</v>
      </c>
      <c r="B125" s="3129">
        <f>'예산세출(주교)'!Q84</f>
        <v>10000</v>
      </c>
      <c r="C125" s="3130">
        <f t="shared" si="51"/>
        <v>1.1478648508516067E-6</v>
      </c>
      <c r="D125" s="3129">
        <f>'예산세출(주교)'!P85</f>
        <v>10000</v>
      </c>
      <c r="E125" s="3133">
        <f t="shared" si="62"/>
        <v>9.7824778018459337E-7</v>
      </c>
      <c r="F125" s="3131">
        <f t="shared" si="63"/>
        <v>0</v>
      </c>
      <c r="G125" s="3132">
        <f t="shared" si="36"/>
        <v>0</v>
      </c>
      <c r="H125" s="87"/>
      <c r="I125" s="85"/>
      <c r="J125" s="85"/>
      <c r="K125" s="85"/>
      <c r="L125" s="85"/>
      <c r="M125" s="85"/>
      <c r="N125" s="79"/>
      <c r="O125" s="79"/>
      <c r="P125" s="85"/>
      <c r="Q125" s="85"/>
      <c r="R125" s="85"/>
      <c r="S125" s="85"/>
      <c r="T125" s="85"/>
      <c r="U125" s="85"/>
      <c r="V125" s="85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  <c r="AK125" s="79"/>
      <c r="AL125" s="79"/>
      <c r="AM125" s="79"/>
      <c r="AN125" s="79"/>
      <c r="AO125" s="79"/>
      <c r="AP125" s="79"/>
      <c r="AQ125" s="79"/>
      <c r="AR125" s="79"/>
      <c r="AS125" s="79"/>
      <c r="AT125" s="79"/>
      <c r="AU125" s="79"/>
      <c r="AV125" s="79"/>
      <c r="AW125" s="79"/>
      <c r="AX125" s="79"/>
      <c r="AY125" s="79"/>
      <c r="AZ125" s="79"/>
      <c r="BA125" s="79"/>
      <c r="BB125" s="79"/>
      <c r="BC125" s="79"/>
      <c r="BD125" s="79"/>
      <c r="BE125" s="79"/>
      <c r="BF125" s="79"/>
      <c r="BG125" s="79"/>
      <c r="BH125" s="79"/>
      <c r="BI125" s="79"/>
      <c r="BJ125" s="79"/>
      <c r="BK125" s="79"/>
      <c r="BL125" s="79"/>
      <c r="BM125" s="79"/>
      <c r="BN125" s="79"/>
      <c r="BO125" s="79"/>
      <c r="BP125" s="79"/>
      <c r="BQ125" s="79"/>
      <c r="BR125" s="79"/>
      <c r="BS125" s="79"/>
      <c r="BT125" s="79"/>
      <c r="BU125" s="79"/>
      <c r="BV125" s="79"/>
      <c r="BW125" s="79"/>
      <c r="BX125" s="79"/>
      <c r="BY125" s="79"/>
      <c r="BZ125" s="79"/>
      <c r="CA125" s="79"/>
      <c r="CB125" s="79"/>
      <c r="CC125" s="79"/>
      <c r="CD125" s="79"/>
      <c r="CE125" s="79"/>
      <c r="CF125" s="79"/>
      <c r="CG125" s="79"/>
      <c r="CH125" s="79"/>
      <c r="CI125" s="79"/>
      <c r="CJ125" s="79"/>
      <c r="CK125" s="79"/>
      <c r="CL125" s="79"/>
      <c r="CM125" s="79"/>
      <c r="CN125" s="79"/>
      <c r="CO125" s="79"/>
      <c r="CP125" s="79"/>
      <c r="CQ125" s="79"/>
      <c r="CR125" s="79"/>
      <c r="CS125" s="79"/>
      <c r="CT125" s="79"/>
      <c r="CU125" s="79"/>
      <c r="CV125" s="79"/>
      <c r="CW125" s="79"/>
      <c r="CX125" s="79"/>
      <c r="CY125" s="79"/>
      <c r="CZ125" s="79"/>
      <c r="DA125" s="79"/>
      <c r="DB125" s="79"/>
      <c r="DC125" s="79"/>
      <c r="DD125" s="79"/>
      <c r="DE125" s="79"/>
      <c r="DF125" s="79"/>
      <c r="DG125" s="79"/>
      <c r="DH125" s="79"/>
      <c r="DI125" s="79"/>
      <c r="DJ125" s="79"/>
      <c r="DK125" s="79"/>
      <c r="DL125" s="79"/>
      <c r="DM125" s="79"/>
      <c r="DN125" s="79"/>
      <c r="DO125" s="79"/>
      <c r="DP125" s="79"/>
      <c r="DQ125" s="79"/>
      <c r="DR125" s="79"/>
      <c r="DS125" s="79"/>
    </row>
    <row r="126" spans="1:123" s="80" customFormat="1" ht="21.95" customHeight="1">
      <c r="A126" s="439" t="s">
        <v>622</v>
      </c>
      <c r="B126" s="3129">
        <f>'예산세출(일산서구)'!P395</f>
        <v>233000</v>
      </c>
      <c r="C126" s="3130">
        <f>+B126/$B$7</f>
        <v>2.6745251024842435E-5</v>
      </c>
      <c r="D126" s="3129">
        <f>'예산세출(일산서구)'!R394</f>
        <v>233000</v>
      </c>
      <c r="E126" s="3130">
        <f t="shared" si="62"/>
        <v>2.2793173278301027E-5</v>
      </c>
      <c r="F126" s="3131">
        <f t="shared" si="63"/>
        <v>0</v>
      </c>
      <c r="G126" s="3132">
        <f t="shared" si="36"/>
        <v>0</v>
      </c>
      <c r="H126" s="87"/>
      <c r="I126" s="85"/>
      <c r="J126" s="85"/>
      <c r="K126" s="85"/>
      <c r="L126" s="85"/>
      <c r="M126" s="85"/>
      <c r="N126" s="79"/>
      <c r="O126" s="79"/>
      <c r="P126" s="85"/>
      <c r="Q126" s="85"/>
      <c r="R126" s="85"/>
      <c r="S126" s="85"/>
      <c r="T126" s="85"/>
      <c r="U126" s="85"/>
      <c r="V126" s="85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  <c r="AK126" s="79"/>
      <c r="AL126" s="79"/>
      <c r="AM126" s="79"/>
      <c r="AN126" s="79"/>
      <c r="AO126" s="79"/>
      <c r="AP126" s="79"/>
      <c r="AQ126" s="79"/>
      <c r="AR126" s="79"/>
      <c r="AS126" s="79"/>
      <c r="AT126" s="79"/>
      <c r="AU126" s="79"/>
      <c r="AV126" s="79"/>
      <c r="AW126" s="79"/>
      <c r="AX126" s="79"/>
      <c r="AY126" s="79"/>
      <c r="AZ126" s="79"/>
      <c r="BA126" s="79"/>
      <c r="BB126" s="79"/>
      <c r="BC126" s="79"/>
      <c r="BD126" s="79"/>
      <c r="BE126" s="79"/>
      <c r="BF126" s="79"/>
      <c r="BG126" s="79"/>
      <c r="BH126" s="79"/>
      <c r="BI126" s="79"/>
      <c r="BJ126" s="79"/>
      <c r="BK126" s="79"/>
      <c r="BL126" s="79"/>
      <c r="BM126" s="79"/>
      <c r="BN126" s="79"/>
      <c r="BO126" s="79"/>
      <c r="BP126" s="79"/>
      <c r="BQ126" s="79"/>
      <c r="BR126" s="79"/>
      <c r="BS126" s="79"/>
      <c r="BT126" s="79"/>
      <c r="BU126" s="79"/>
      <c r="BV126" s="79"/>
      <c r="BW126" s="79"/>
      <c r="BX126" s="79"/>
      <c r="BY126" s="79"/>
      <c r="BZ126" s="79"/>
      <c r="CA126" s="79"/>
      <c r="CB126" s="79"/>
      <c r="CC126" s="79"/>
      <c r="CD126" s="79"/>
      <c r="CE126" s="79"/>
      <c r="CF126" s="79"/>
      <c r="CG126" s="79"/>
      <c r="CH126" s="79"/>
      <c r="CI126" s="79"/>
      <c r="CJ126" s="79"/>
      <c r="CK126" s="79"/>
      <c r="CL126" s="79"/>
      <c r="CM126" s="79"/>
      <c r="CN126" s="79"/>
      <c r="CO126" s="79"/>
      <c r="CP126" s="79"/>
      <c r="CQ126" s="79"/>
      <c r="CR126" s="79"/>
      <c r="CS126" s="79"/>
      <c r="CT126" s="79"/>
      <c r="CU126" s="79"/>
      <c r="CV126" s="79"/>
      <c r="CW126" s="79"/>
      <c r="CX126" s="79"/>
      <c r="CY126" s="79"/>
      <c r="CZ126" s="79"/>
      <c r="DA126" s="79"/>
      <c r="DB126" s="79"/>
      <c r="DC126" s="79"/>
      <c r="DD126" s="79"/>
      <c r="DE126" s="79"/>
      <c r="DF126" s="79"/>
      <c r="DG126" s="79"/>
      <c r="DH126" s="79"/>
      <c r="DI126" s="79"/>
      <c r="DJ126" s="79"/>
      <c r="DK126" s="79"/>
      <c r="DL126" s="79"/>
      <c r="DM126" s="79"/>
      <c r="DN126" s="79"/>
      <c r="DO126" s="79"/>
      <c r="DP126" s="79"/>
      <c r="DQ126" s="79"/>
      <c r="DR126" s="79"/>
      <c r="DS126" s="79"/>
    </row>
    <row r="127" spans="1:123" s="80" customFormat="1" ht="21.95" customHeight="1">
      <c r="A127" s="439" t="s">
        <v>593</v>
      </c>
      <c r="B127" s="3129">
        <f>'예산세출(토당)'!P385</f>
        <v>500000</v>
      </c>
      <c r="C127" s="3130">
        <f t="shared" si="51"/>
        <v>5.739324254258033E-5</v>
      </c>
      <c r="D127" s="3129">
        <f>'예산세출(토당)'!P385</f>
        <v>500000</v>
      </c>
      <c r="E127" s="3133">
        <f t="shared" si="62"/>
        <v>4.891238900922967E-5</v>
      </c>
      <c r="F127" s="3131">
        <f t="shared" si="63"/>
        <v>0</v>
      </c>
      <c r="G127" s="3132">
        <f t="shared" si="36"/>
        <v>0</v>
      </c>
      <c r="H127" s="87"/>
      <c r="I127" s="85"/>
      <c r="J127" s="85"/>
      <c r="K127" s="85"/>
      <c r="L127" s="85"/>
      <c r="M127" s="85"/>
      <c r="N127" s="79"/>
      <c r="O127" s="79"/>
      <c r="P127" s="85"/>
      <c r="Q127" s="85"/>
      <c r="R127" s="85"/>
      <c r="S127" s="85"/>
      <c r="T127" s="85"/>
      <c r="U127" s="85"/>
      <c r="V127" s="85"/>
      <c r="W127" s="79"/>
      <c r="X127" s="79"/>
      <c r="Y127" s="79"/>
      <c r="Z127" s="79"/>
      <c r="AA127" s="79"/>
      <c r="AB127" s="79"/>
      <c r="AC127" s="79"/>
      <c r="AD127" s="79"/>
      <c r="AE127" s="79"/>
      <c r="AF127" s="79"/>
      <c r="AG127" s="79"/>
      <c r="AH127" s="79"/>
      <c r="AI127" s="79"/>
      <c r="AJ127" s="79"/>
      <c r="AK127" s="79"/>
      <c r="AL127" s="79"/>
      <c r="AM127" s="79"/>
      <c r="AN127" s="79"/>
      <c r="AO127" s="79"/>
      <c r="AP127" s="79"/>
      <c r="AQ127" s="79"/>
      <c r="AR127" s="79"/>
      <c r="AS127" s="79"/>
      <c r="AT127" s="79"/>
      <c r="AU127" s="79"/>
      <c r="AV127" s="79"/>
      <c r="AW127" s="79"/>
      <c r="AX127" s="79"/>
      <c r="AY127" s="79"/>
      <c r="AZ127" s="79"/>
      <c r="BA127" s="79"/>
      <c r="BB127" s="79"/>
      <c r="BC127" s="79"/>
      <c r="BD127" s="79"/>
      <c r="BE127" s="79"/>
      <c r="BF127" s="79"/>
      <c r="BG127" s="79"/>
      <c r="BH127" s="79"/>
      <c r="BI127" s="79"/>
      <c r="BJ127" s="79"/>
      <c r="BK127" s="79"/>
      <c r="BL127" s="79"/>
      <c r="BM127" s="79"/>
      <c r="BN127" s="79"/>
      <c r="BO127" s="79"/>
      <c r="BP127" s="79"/>
      <c r="BQ127" s="79"/>
      <c r="BR127" s="79"/>
      <c r="BS127" s="79"/>
      <c r="BT127" s="79"/>
      <c r="BU127" s="79"/>
      <c r="BV127" s="79"/>
      <c r="BW127" s="79"/>
      <c r="BX127" s="79"/>
      <c r="BY127" s="79"/>
      <c r="BZ127" s="79"/>
      <c r="CA127" s="79"/>
      <c r="CB127" s="79"/>
      <c r="CC127" s="79"/>
      <c r="CD127" s="79"/>
      <c r="CE127" s="79"/>
      <c r="CF127" s="79"/>
      <c r="CG127" s="79"/>
      <c r="CH127" s="79"/>
      <c r="CI127" s="79"/>
      <c r="CJ127" s="79"/>
      <c r="CK127" s="79"/>
      <c r="CL127" s="79"/>
      <c r="CM127" s="79"/>
      <c r="CN127" s="79"/>
      <c r="CO127" s="79"/>
      <c r="CP127" s="79"/>
      <c r="CQ127" s="79"/>
      <c r="CR127" s="79"/>
      <c r="CS127" s="79"/>
      <c r="CT127" s="79"/>
      <c r="CU127" s="79"/>
      <c r="CV127" s="79"/>
      <c r="CW127" s="79"/>
      <c r="CX127" s="79"/>
      <c r="CY127" s="79"/>
      <c r="CZ127" s="79"/>
      <c r="DA127" s="79"/>
      <c r="DB127" s="79"/>
      <c r="DC127" s="79"/>
      <c r="DD127" s="79"/>
      <c r="DE127" s="79"/>
      <c r="DF127" s="79"/>
      <c r="DG127" s="79"/>
      <c r="DH127" s="79"/>
      <c r="DI127" s="79"/>
      <c r="DJ127" s="79"/>
      <c r="DK127" s="79"/>
      <c r="DL127" s="79"/>
      <c r="DM127" s="79"/>
      <c r="DN127" s="79"/>
      <c r="DO127" s="79"/>
      <c r="DP127" s="79"/>
      <c r="DQ127" s="79"/>
      <c r="DR127" s="79"/>
      <c r="DS127" s="79"/>
    </row>
    <row r="128" spans="1:123" s="80" customFormat="1" ht="21.95" customHeight="1">
      <c r="A128" s="439" t="s">
        <v>594</v>
      </c>
      <c r="B128" s="3129">
        <f>'예산세출(상담)'!P196</f>
        <v>24000</v>
      </c>
      <c r="C128" s="3130">
        <f t="shared" si="51"/>
        <v>2.754875642043856E-6</v>
      </c>
      <c r="D128" s="3129">
        <f>'예산세출(상담)'!P196</f>
        <v>24000</v>
      </c>
      <c r="E128" s="3133">
        <f t="shared" si="62"/>
        <v>2.347794672443024E-6</v>
      </c>
      <c r="F128" s="3131">
        <f t="shared" si="63"/>
        <v>0</v>
      </c>
      <c r="G128" s="3132">
        <f t="shared" si="36"/>
        <v>0</v>
      </c>
      <c r="H128" s="87"/>
      <c r="I128" s="85"/>
      <c r="J128" s="85"/>
      <c r="K128" s="85"/>
      <c r="L128" s="85"/>
      <c r="M128" s="85"/>
      <c r="N128" s="79"/>
      <c r="O128" s="79"/>
      <c r="P128" s="85"/>
      <c r="Q128" s="85"/>
      <c r="R128" s="85"/>
      <c r="S128" s="85"/>
      <c r="T128" s="85"/>
      <c r="U128" s="85"/>
      <c r="V128" s="85"/>
      <c r="W128" s="79"/>
      <c r="X128" s="79"/>
      <c r="Y128" s="79"/>
      <c r="Z128" s="79"/>
      <c r="AA128" s="79"/>
      <c r="AB128" s="79"/>
      <c r="AC128" s="79"/>
      <c r="AD128" s="79"/>
      <c r="AE128" s="79"/>
      <c r="AF128" s="79"/>
      <c r="AG128" s="79"/>
      <c r="AH128" s="79"/>
      <c r="AI128" s="79"/>
      <c r="AJ128" s="79"/>
      <c r="AK128" s="79"/>
      <c r="AL128" s="79"/>
      <c r="AM128" s="79"/>
      <c r="AN128" s="79"/>
      <c r="AO128" s="79"/>
      <c r="AP128" s="79"/>
      <c r="AQ128" s="79"/>
      <c r="AR128" s="79"/>
      <c r="AS128" s="79"/>
      <c r="AT128" s="79"/>
      <c r="AU128" s="79"/>
      <c r="AV128" s="79"/>
      <c r="AW128" s="79"/>
      <c r="AX128" s="79"/>
      <c r="AY128" s="79"/>
      <c r="AZ128" s="79"/>
      <c r="BA128" s="79"/>
      <c r="BB128" s="79"/>
      <c r="BC128" s="79"/>
      <c r="BD128" s="79"/>
      <c r="BE128" s="79"/>
      <c r="BF128" s="79"/>
      <c r="BG128" s="79"/>
      <c r="BH128" s="79"/>
      <c r="BI128" s="79"/>
      <c r="BJ128" s="79"/>
      <c r="BK128" s="79"/>
      <c r="BL128" s="79"/>
      <c r="BM128" s="79"/>
      <c r="BN128" s="79"/>
      <c r="BO128" s="79"/>
      <c r="BP128" s="79"/>
      <c r="BQ128" s="79"/>
      <c r="BR128" s="79"/>
      <c r="BS128" s="79"/>
      <c r="BT128" s="79"/>
      <c r="BU128" s="79"/>
      <c r="BV128" s="79"/>
      <c r="BW128" s="79"/>
      <c r="BX128" s="79"/>
      <c r="BY128" s="79"/>
      <c r="BZ128" s="79"/>
      <c r="CA128" s="79"/>
      <c r="CB128" s="79"/>
      <c r="CC128" s="79"/>
      <c r="CD128" s="79"/>
      <c r="CE128" s="79"/>
      <c r="CF128" s="79"/>
      <c r="CG128" s="79"/>
      <c r="CH128" s="79"/>
      <c r="CI128" s="79"/>
      <c r="CJ128" s="79"/>
      <c r="CK128" s="79"/>
      <c r="CL128" s="79"/>
      <c r="CM128" s="79"/>
      <c r="CN128" s="79"/>
      <c r="CO128" s="79"/>
      <c r="CP128" s="79"/>
      <c r="CQ128" s="79"/>
      <c r="CR128" s="79"/>
      <c r="CS128" s="79"/>
      <c r="CT128" s="79"/>
      <c r="CU128" s="79"/>
      <c r="CV128" s="79"/>
      <c r="CW128" s="79"/>
      <c r="CX128" s="79"/>
      <c r="CY128" s="79"/>
      <c r="CZ128" s="79"/>
      <c r="DA128" s="79"/>
      <c r="DB128" s="79"/>
      <c r="DC128" s="79"/>
      <c r="DD128" s="79"/>
      <c r="DE128" s="79"/>
      <c r="DF128" s="79"/>
      <c r="DG128" s="79"/>
      <c r="DH128" s="79"/>
      <c r="DI128" s="79"/>
      <c r="DJ128" s="79"/>
      <c r="DK128" s="79"/>
      <c r="DL128" s="79"/>
      <c r="DM128" s="79"/>
      <c r="DN128" s="79"/>
      <c r="DO128" s="79"/>
      <c r="DP128" s="79"/>
      <c r="DQ128" s="79"/>
      <c r="DR128" s="79"/>
      <c r="DS128" s="79"/>
    </row>
    <row r="129" spans="1:123" s="80" customFormat="1" ht="21.95" customHeight="1">
      <c r="A129" s="437" t="s">
        <v>590</v>
      </c>
      <c r="B129" s="3136">
        <f>'예산세출(화정)'!Q175</f>
        <v>20000</v>
      </c>
      <c r="C129" s="3133">
        <f t="shared" si="51"/>
        <v>2.2957297017032135E-6</v>
      </c>
      <c r="D129" s="3136">
        <f>'예산세출(화정)'!R175</f>
        <v>13000</v>
      </c>
      <c r="E129" s="3133">
        <f t="shared" si="62"/>
        <v>1.2717221142399714E-6</v>
      </c>
      <c r="F129" s="3137">
        <f t="shared" si="63"/>
        <v>7000</v>
      </c>
      <c r="G129" s="3138">
        <f t="shared" si="36"/>
        <v>0.53846153846153844</v>
      </c>
      <c r="H129" s="87"/>
      <c r="I129" s="85"/>
      <c r="J129" s="85"/>
      <c r="K129" s="85"/>
      <c r="L129" s="85"/>
      <c r="M129" s="85"/>
      <c r="N129" s="79"/>
      <c r="O129" s="79"/>
      <c r="P129" s="85"/>
      <c r="Q129" s="85"/>
      <c r="R129" s="85"/>
      <c r="S129" s="85"/>
      <c r="T129" s="85"/>
      <c r="U129" s="85"/>
      <c r="V129" s="85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79"/>
      <c r="AI129" s="79"/>
      <c r="AJ129" s="79"/>
      <c r="AK129" s="79"/>
      <c r="AL129" s="79"/>
      <c r="AM129" s="79"/>
      <c r="AN129" s="79"/>
      <c r="AO129" s="79"/>
      <c r="AP129" s="79"/>
      <c r="AQ129" s="79"/>
      <c r="AR129" s="79"/>
      <c r="AS129" s="79"/>
      <c r="AT129" s="79"/>
      <c r="AU129" s="79"/>
      <c r="AV129" s="79"/>
      <c r="AW129" s="79"/>
      <c r="AX129" s="79"/>
      <c r="AY129" s="79"/>
      <c r="AZ129" s="79"/>
      <c r="BA129" s="79"/>
      <c r="BB129" s="79"/>
      <c r="BC129" s="79"/>
      <c r="BD129" s="79"/>
      <c r="BE129" s="79"/>
      <c r="BF129" s="79"/>
      <c r="BG129" s="79"/>
      <c r="BH129" s="79"/>
      <c r="BI129" s="79"/>
      <c r="BJ129" s="79"/>
      <c r="BK129" s="79"/>
      <c r="BL129" s="79"/>
      <c r="BM129" s="79"/>
      <c r="BN129" s="79"/>
      <c r="BO129" s="79"/>
      <c r="BP129" s="79"/>
      <c r="BQ129" s="79"/>
      <c r="BR129" s="79"/>
      <c r="BS129" s="79"/>
      <c r="BT129" s="79"/>
      <c r="BU129" s="79"/>
      <c r="BV129" s="79"/>
      <c r="BW129" s="79"/>
      <c r="BX129" s="79"/>
      <c r="BY129" s="79"/>
      <c r="BZ129" s="79"/>
      <c r="CA129" s="79"/>
      <c r="CB129" s="79"/>
      <c r="CC129" s="79"/>
      <c r="CD129" s="79"/>
      <c r="CE129" s="79"/>
      <c r="CF129" s="79"/>
      <c r="CG129" s="79"/>
      <c r="CH129" s="79"/>
      <c r="CI129" s="79"/>
      <c r="CJ129" s="79"/>
      <c r="CK129" s="79"/>
      <c r="CL129" s="79"/>
      <c r="CM129" s="79"/>
      <c r="CN129" s="79"/>
      <c r="CO129" s="79"/>
      <c r="CP129" s="79"/>
      <c r="CQ129" s="79"/>
      <c r="CR129" s="79"/>
      <c r="CS129" s="79"/>
      <c r="CT129" s="79"/>
      <c r="CU129" s="79"/>
      <c r="CV129" s="79"/>
      <c r="CW129" s="79"/>
      <c r="CX129" s="79"/>
      <c r="CY129" s="79"/>
      <c r="CZ129" s="79"/>
      <c r="DA129" s="79"/>
      <c r="DB129" s="79"/>
      <c r="DC129" s="79"/>
      <c r="DD129" s="79"/>
      <c r="DE129" s="79"/>
      <c r="DF129" s="79"/>
      <c r="DG129" s="79"/>
      <c r="DH129" s="79"/>
      <c r="DI129" s="79"/>
      <c r="DJ129" s="79"/>
      <c r="DK129" s="79"/>
      <c r="DL129" s="79"/>
      <c r="DM129" s="79"/>
      <c r="DN129" s="79"/>
      <c r="DO129" s="79"/>
      <c r="DP129" s="79"/>
      <c r="DQ129" s="79"/>
      <c r="DR129" s="79"/>
      <c r="DS129" s="79"/>
    </row>
    <row r="130" spans="1:123" s="80" customFormat="1" ht="21.95" customHeight="1">
      <c r="A130" s="439" t="s">
        <v>499</v>
      </c>
      <c r="B130" s="3129">
        <f>'예산세출(백마)'!P117</f>
        <v>14000</v>
      </c>
      <c r="C130" s="3130">
        <f t="shared" si="51"/>
        <v>1.6070107911922493E-6</v>
      </c>
      <c r="D130" s="3129">
        <f>'예산세출(백마)'!P117</f>
        <v>14000</v>
      </c>
      <c r="E130" s="3133">
        <f t="shared" si="62"/>
        <v>1.3695468922584308E-6</v>
      </c>
      <c r="F130" s="3131">
        <f t="shared" si="63"/>
        <v>0</v>
      </c>
      <c r="G130" s="3132">
        <f t="shared" si="36"/>
        <v>0</v>
      </c>
      <c r="H130" s="87"/>
      <c r="I130" s="85"/>
      <c r="J130" s="85"/>
      <c r="K130" s="85"/>
      <c r="L130" s="85"/>
      <c r="M130" s="85"/>
      <c r="N130" s="79"/>
      <c r="O130" s="79"/>
      <c r="P130" s="85"/>
      <c r="Q130" s="85"/>
      <c r="R130" s="85"/>
      <c r="S130" s="85"/>
      <c r="T130" s="85"/>
      <c r="U130" s="85"/>
      <c r="V130" s="85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  <c r="AK130" s="79"/>
      <c r="AL130" s="79"/>
      <c r="AM130" s="79"/>
      <c r="AN130" s="79"/>
      <c r="AO130" s="79"/>
      <c r="AP130" s="79"/>
      <c r="AQ130" s="79"/>
      <c r="AR130" s="79"/>
      <c r="AS130" s="79"/>
      <c r="AT130" s="79"/>
      <c r="AU130" s="79"/>
      <c r="AV130" s="79"/>
      <c r="AW130" s="79"/>
      <c r="AX130" s="79"/>
      <c r="AY130" s="79"/>
      <c r="AZ130" s="79"/>
      <c r="BA130" s="79"/>
      <c r="BB130" s="79"/>
      <c r="BC130" s="79"/>
      <c r="BD130" s="79"/>
      <c r="BE130" s="79"/>
      <c r="BF130" s="79"/>
      <c r="BG130" s="79"/>
      <c r="BH130" s="79"/>
      <c r="BI130" s="79"/>
      <c r="BJ130" s="79"/>
      <c r="BK130" s="79"/>
      <c r="BL130" s="79"/>
      <c r="BM130" s="79"/>
      <c r="BN130" s="79"/>
      <c r="BO130" s="79"/>
      <c r="BP130" s="79"/>
      <c r="BQ130" s="79"/>
      <c r="BR130" s="79"/>
      <c r="BS130" s="79"/>
      <c r="BT130" s="79"/>
      <c r="BU130" s="79"/>
      <c r="BV130" s="79"/>
      <c r="BW130" s="79"/>
      <c r="BX130" s="79"/>
      <c r="BY130" s="79"/>
      <c r="BZ130" s="79"/>
      <c r="CA130" s="79"/>
      <c r="CB130" s="79"/>
      <c r="CC130" s="79"/>
      <c r="CD130" s="79"/>
      <c r="CE130" s="79"/>
      <c r="CF130" s="79"/>
      <c r="CG130" s="79"/>
      <c r="CH130" s="79"/>
      <c r="CI130" s="79"/>
      <c r="CJ130" s="79"/>
      <c r="CK130" s="79"/>
      <c r="CL130" s="79"/>
      <c r="CM130" s="79"/>
      <c r="CN130" s="79"/>
      <c r="CO130" s="79"/>
      <c r="CP130" s="79"/>
      <c r="CQ130" s="79"/>
      <c r="CR130" s="79"/>
      <c r="CS130" s="79"/>
      <c r="CT130" s="79"/>
      <c r="CU130" s="79"/>
      <c r="CV130" s="79"/>
      <c r="CW130" s="79"/>
      <c r="CX130" s="79"/>
      <c r="CY130" s="79"/>
      <c r="CZ130" s="79"/>
      <c r="DA130" s="79"/>
      <c r="DB130" s="79"/>
      <c r="DC130" s="79"/>
      <c r="DD130" s="79"/>
      <c r="DE130" s="79"/>
      <c r="DF130" s="79"/>
      <c r="DG130" s="79"/>
      <c r="DH130" s="79"/>
      <c r="DI130" s="79"/>
      <c r="DJ130" s="79"/>
      <c r="DK130" s="79"/>
      <c r="DL130" s="79"/>
      <c r="DM130" s="79"/>
      <c r="DN130" s="79"/>
      <c r="DO130" s="79"/>
      <c r="DP130" s="79"/>
      <c r="DQ130" s="79"/>
      <c r="DR130" s="79"/>
      <c r="DS130" s="79"/>
    </row>
    <row r="131" spans="1:123" s="80" customFormat="1" ht="21.95" customHeight="1">
      <c r="A131" s="462" t="s">
        <v>531</v>
      </c>
      <c r="B131" s="3129">
        <f>'예산세출(능곡)'!P106</f>
        <v>10000</v>
      </c>
      <c r="C131" s="3130">
        <f t="shared" si="51"/>
        <v>1.1478648508516067E-6</v>
      </c>
      <c r="D131" s="3129">
        <f>'예산세출(능곡)'!R105</f>
        <v>10000</v>
      </c>
      <c r="E131" s="3133">
        <f t="shared" si="11"/>
        <v>9.7824778018459337E-7</v>
      </c>
      <c r="F131" s="3131">
        <f t="shared" si="63"/>
        <v>0</v>
      </c>
      <c r="G131" s="3132">
        <f t="shared" si="36"/>
        <v>0</v>
      </c>
      <c r="H131" s="87"/>
      <c r="I131" s="85"/>
      <c r="J131" s="85"/>
      <c r="K131" s="85"/>
      <c r="L131" s="85"/>
      <c r="M131" s="85"/>
      <c r="N131" s="79"/>
      <c r="O131" s="79"/>
      <c r="P131" s="85"/>
      <c r="Q131" s="85"/>
      <c r="R131" s="85"/>
      <c r="S131" s="85"/>
      <c r="T131" s="85"/>
      <c r="U131" s="85"/>
      <c r="V131" s="85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  <c r="AM131" s="79"/>
      <c r="AN131" s="79"/>
      <c r="AO131" s="79"/>
      <c r="AP131" s="79"/>
      <c r="AQ131" s="79"/>
      <c r="AR131" s="79"/>
      <c r="AS131" s="79"/>
      <c r="AT131" s="79"/>
      <c r="AU131" s="79"/>
      <c r="AV131" s="79"/>
      <c r="AW131" s="79"/>
      <c r="AX131" s="79"/>
      <c r="AY131" s="79"/>
      <c r="AZ131" s="79"/>
      <c r="BA131" s="79"/>
      <c r="BB131" s="79"/>
      <c r="BC131" s="79"/>
      <c r="BD131" s="79"/>
      <c r="BE131" s="79"/>
      <c r="BF131" s="79"/>
      <c r="BG131" s="79"/>
      <c r="BH131" s="79"/>
      <c r="BI131" s="79"/>
      <c r="BJ131" s="79"/>
      <c r="BK131" s="79"/>
      <c r="BL131" s="79"/>
      <c r="BM131" s="79"/>
      <c r="BN131" s="79"/>
      <c r="BO131" s="79"/>
      <c r="BP131" s="79"/>
      <c r="BQ131" s="79"/>
      <c r="BR131" s="79"/>
      <c r="BS131" s="79"/>
      <c r="BT131" s="79"/>
      <c r="BU131" s="79"/>
      <c r="BV131" s="79"/>
      <c r="BW131" s="79"/>
      <c r="BX131" s="79"/>
      <c r="BY131" s="79"/>
      <c r="BZ131" s="79"/>
      <c r="CA131" s="79"/>
      <c r="CB131" s="79"/>
      <c r="CC131" s="79"/>
      <c r="CD131" s="79"/>
      <c r="CE131" s="79"/>
      <c r="CF131" s="79"/>
      <c r="CG131" s="79"/>
      <c r="CH131" s="79"/>
      <c r="CI131" s="79"/>
      <c r="CJ131" s="79"/>
      <c r="CK131" s="79"/>
      <c r="CL131" s="79"/>
      <c r="CM131" s="79"/>
      <c r="CN131" s="79"/>
      <c r="CO131" s="79"/>
      <c r="CP131" s="79"/>
      <c r="CQ131" s="79"/>
      <c r="CR131" s="79"/>
      <c r="CS131" s="79"/>
      <c r="CT131" s="79"/>
      <c r="CU131" s="79"/>
      <c r="CV131" s="79"/>
      <c r="CW131" s="79"/>
      <c r="CX131" s="79"/>
      <c r="CY131" s="79"/>
      <c r="CZ131" s="79"/>
      <c r="DA131" s="79"/>
      <c r="DB131" s="79"/>
      <c r="DC131" s="79"/>
      <c r="DD131" s="79"/>
      <c r="DE131" s="79"/>
      <c r="DF131" s="79"/>
      <c r="DG131" s="79"/>
      <c r="DH131" s="79"/>
      <c r="DI131" s="79"/>
      <c r="DJ131" s="79"/>
      <c r="DK131" s="79"/>
      <c r="DL131" s="79"/>
      <c r="DM131" s="79"/>
      <c r="DN131" s="79"/>
      <c r="DO131" s="79"/>
      <c r="DP131" s="79"/>
      <c r="DQ131" s="79"/>
      <c r="DR131" s="79"/>
      <c r="DS131" s="79"/>
    </row>
    <row r="132" spans="1:123" s="80" customFormat="1" ht="21.95" customHeight="1">
      <c r="A132" s="278" t="s">
        <v>709</v>
      </c>
      <c r="B132" s="279">
        <f>SUM(B133:B137)</f>
        <v>85166000</v>
      </c>
      <c r="C132" s="280">
        <f t="shared" si="51"/>
        <v>9.7759057887627926E-3</v>
      </c>
      <c r="D132" s="279">
        <f>SUM(D133:D137)</f>
        <v>223556000</v>
      </c>
      <c r="E132" s="280">
        <f t="shared" si="11"/>
        <v>2.1869316074694695E-2</v>
      </c>
      <c r="F132" s="281">
        <f>SUM(F133:F137)</f>
        <v>-138390000</v>
      </c>
      <c r="G132" s="282">
        <f t="shared" si="36"/>
        <v>-0.61903952477231661</v>
      </c>
      <c r="H132" s="89"/>
      <c r="I132" s="85"/>
      <c r="J132" s="85"/>
      <c r="K132" s="85"/>
      <c r="L132" s="85"/>
      <c r="M132" s="85"/>
      <c r="N132" s="79"/>
      <c r="O132" s="79"/>
      <c r="P132" s="85"/>
      <c r="Q132" s="85"/>
      <c r="R132" s="85"/>
      <c r="S132" s="85"/>
      <c r="T132" s="85"/>
      <c r="U132" s="85"/>
      <c r="V132" s="85"/>
      <c r="W132" s="79"/>
      <c r="X132" s="79"/>
      <c r="Y132" s="79"/>
      <c r="Z132" s="79"/>
      <c r="AA132" s="79"/>
      <c r="AB132" s="79"/>
      <c r="AC132" s="79"/>
      <c r="AD132" s="79"/>
      <c r="AE132" s="79"/>
      <c r="AF132" s="79"/>
      <c r="AG132" s="79"/>
      <c r="AH132" s="79"/>
      <c r="AI132" s="79"/>
      <c r="AJ132" s="79"/>
      <c r="AK132" s="79"/>
      <c r="AL132" s="79"/>
      <c r="AM132" s="79"/>
      <c r="AN132" s="79"/>
      <c r="AO132" s="79"/>
      <c r="AP132" s="79"/>
      <c r="AQ132" s="79"/>
      <c r="AR132" s="79"/>
      <c r="AS132" s="79"/>
      <c r="AT132" s="79"/>
      <c r="AU132" s="79"/>
      <c r="AV132" s="79"/>
      <c r="AW132" s="79"/>
      <c r="AX132" s="79"/>
      <c r="AY132" s="79"/>
      <c r="AZ132" s="79"/>
      <c r="BA132" s="79"/>
      <c r="BB132" s="79"/>
      <c r="BC132" s="79"/>
      <c r="BD132" s="79"/>
      <c r="BE132" s="79"/>
      <c r="BF132" s="79"/>
      <c r="BG132" s="79"/>
      <c r="BH132" s="79"/>
      <c r="BI132" s="79"/>
      <c r="BJ132" s="79"/>
      <c r="BK132" s="79"/>
      <c r="BL132" s="79"/>
      <c r="BM132" s="79"/>
      <c r="BN132" s="79"/>
      <c r="BO132" s="79"/>
      <c r="BP132" s="79"/>
      <c r="BQ132" s="79"/>
      <c r="BR132" s="79"/>
      <c r="BS132" s="79"/>
      <c r="BT132" s="79"/>
      <c r="BU132" s="79"/>
      <c r="BV132" s="79"/>
      <c r="BW132" s="79"/>
      <c r="BX132" s="79"/>
      <c r="BY132" s="79"/>
      <c r="BZ132" s="79"/>
      <c r="CA132" s="79"/>
      <c r="CB132" s="79"/>
      <c r="CC132" s="79"/>
      <c r="CD132" s="79"/>
      <c r="CE132" s="79"/>
      <c r="CF132" s="79"/>
      <c r="CG132" s="79"/>
      <c r="CH132" s="79"/>
      <c r="CI132" s="79"/>
      <c r="CJ132" s="79"/>
      <c r="CK132" s="79"/>
      <c r="CL132" s="79"/>
      <c r="CM132" s="79"/>
      <c r="CN132" s="79"/>
      <c r="CO132" s="79"/>
      <c r="CP132" s="79"/>
      <c r="CQ132" s="79"/>
      <c r="CR132" s="79"/>
      <c r="CS132" s="79"/>
      <c r="CT132" s="79"/>
      <c r="CU132" s="79"/>
      <c r="CV132" s="79"/>
      <c r="CW132" s="79"/>
      <c r="CX132" s="79"/>
      <c r="CY132" s="79"/>
      <c r="CZ132" s="79"/>
      <c r="DA132" s="79"/>
      <c r="DB132" s="79"/>
      <c r="DC132" s="79"/>
      <c r="DD132" s="79"/>
      <c r="DE132" s="79"/>
      <c r="DF132" s="79"/>
      <c r="DG132" s="79"/>
      <c r="DH132" s="79"/>
      <c r="DI132" s="79"/>
      <c r="DJ132" s="79"/>
      <c r="DK132" s="79"/>
      <c r="DL132" s="79"/>
      <c r="DM132" s="79"/>
      <c r="DN132" s="79"/>
      <c r="DO132" s="79"/>
      <c r="DP132" s="79"/>
      <c r="DQ132" s="79"/>
      <c r="DR132" s="79"/>
      <c r="DS132" s="79"/>
    </row>
    <row r="133" spans="1:123" s="80" customFormat="1" ht="21.95" customHeight="1">
      <c r="A133" s="448" t="s">
        <v>574</v>
      </c>
      <c r="B133" s="3129">
        <v>0</v>
      </c>
      <c r="C133" s="3130">
        <f>+B133/$B$7</f>
        <v>0</v>
      </c>
      <c r="D133" s="3129">
        <v>113313000</v>
      </c>
      <c r="E133" s="3133">
        <f t="shared" si="11"/>
        <v>1.1084819071605682E-2</v>
      </c>
      <c r="F133" s="3131">
        <f t="shared" ref="F133:F137" si="64">+B133-D133</f>
        <v>-113313000</v>
      </c>
      <c r="G133" s="3132">
        <f t="shared" si="36"/>
        <v>-1</v>
      </c>
      <c r="H133" s="87"/>
      <c r="I133" s="85"/>
      <c r="J133" s="85"/>
      <c r="K133" s="85"/>
      <c r="L133" s="85"/>
      <c r="M133" s="85"/>
      <c r="N133" s="79"/>
      <c r="O133" s="79"/>
      <c r="P133" s="85"/>
      <c r="Q133" s="85"/>
      <c r="R133" s="85"/>
      <c r="S133" s="85"/>
      <c r="T133" s="85"/>
      <c r="U133" s="85"/>
      <c r="V133" s="85"/>
      <c r="W133" s="79"/>
      <c r="X133" s="79"/>
      <c r="Y133" s="79"/>
      <c r="Z133" s="79"/>
      <c r="AA133" s="79"/>
      <c r="AB133" s="79"/>
      <c r="AC133" s="79"/>
      <c r="AD133" s="79"/>
      <c r="AE133" s="79"/>
      <c r="AF133" s="79"/>
      <c r="AG133" s="79"/>
      <c r="AH133" s="79"/>
      <c r="AI133" s="79"/>
      <c r="AJ133" s="79"/>
      <c r="AK133" s="79"/>
      <c r="AL133" s="79"/>
      <c r="AM133" s="79"/>
      <c r="AN133" s="79"/>
      <c r="AO133" s="79"/>
      <c r="AP133" s="79"/>
      <c r="AQ133" s="79"/>
      <c r="AR133" s="79"/>
      <c r="AS133" s="79"/>
      <c r="AT133" s="79"/>
      <c r="AU133" s="79"/>
      <c r="AV133" s="79"/>
      <c r="AW133" s="79"/>
      <c r="AX133" s="79"/>
      <c r="AY133" s="79"/>
      <c r="AZ133" s="79"/>
      <c r="BA133" s="79"/>
      <c r="BB133" s="79"/>
      <c r="BC133" s="79"/>
      <c r="BD133" s="79"/>
      <c r="BE133" s="79"/>
      <c r="BF133" s="79"/>
      <c r="BG133" s="79"/>
      <c r="BH133" s="79"/>
      <c r="BI133" s="79"/>
      <c r="BJ133" s="79"/>
      <c r="BK133" s="79"/>
      <c r="BL133" s="79"/>
      <c r="BM133" s="79"/>
      <c r="BN133" s="79"/>
      <c r="BO133" s="79"/>
      <c r="BP133" s="79"/>
      <c r="BQ133" s="79"/>
      <c r="BR133" s="79"/>
      <c r="BS133" s="79"/>
      <c r="BT133" s="79"/>
      <c r="BU133" s="79"/>
      <c r="BV133" s="79"/>
      <c r="BW133" s="79"/>
      <c r="BX133" s="79"/>
      <c r="BY133" s="79"/>
      <c r="BZ133" s="79"/>
      <c r="CA133" s="79"/>
      <c r="CB133" s="79"/>
      <c r="CC133" s="79"/>
      <c r="CD133" s="79"/>
      <c r="CE133" s="79"/>
      <c r="CF133" s="79"/>
      <c r="CG133" s="79"/>
      <c r="CH133" s="79"/>
      <c r="CI133" s="79"/>
      <c r="CJ133" s="79"/>
      <c r="CK133" s="79"/>
      <c r="CL133" s="79"/>
      <c r="CM133" s="79"/>
      <c r="CN133" s="79"/>
      <c r="CO133" s="79"/>
      <c r="CP133" s="79"/>
      <c r="CQ133" s="79"/>
      <c r="CR133" s="79"/>
      <c r="CS133" s="79"/>
      <c r="CT133" s="79"/>
      <c r="CU133" s="79"/>
      <c r="CV133" s="79"/>
      <c r="CW133" s="79"/>
      <c r="CX133" s="79"/>
      <c r="CY133" s="79"/>
      <c r="CZ133" s="79"/>
      <c r="DA133" s="79"/>
      <c r="DB133" s="79"/>
      <c r="DC133" s="79"/>
      <c r="DD133" s="79"/>
      <c r="DE133" s="79"/>
      <c r="DF133" s="79"/>
      <c r="DG133" s="79"/>
      <c r="DH133" s="79"/>
      <c r="DI133" s="79"/>
      <c r="DJ133" s="79"/>
      <c r="DK133" s="79"/>
      <c r="DL133" s="79"/>
      <c r="DM133" s="79"/>
      <c r="DN133" s="79"/>
      <c r="DO133" s="79"/>
      <c r="DP133" s="79"/>
      <c r="DQ133" s="79"/>
      <c r="DR133" s="79"/>
      <c r="DS133" s="79"/>
    </row>
    <row r="134" spans="1:123" s="80" customFormat="1" ht="21.95" customHeight="1">
      <c r="A134" s="448" t="s">
        <v>576</v>
      </c>
      <c r="B134" s="3129">
        <f>'예산세출(마두)'!P326</f>
        <v>66416000</v>
      </c>
      <c r="C134" s="3130">
        <f t="shared" si="51"/>
        <v>7.6236591934160311E-3</v>
      </c>
      <c r="D134" s="3129">
        <f>'예산세출(마두)'!R323-'예산세출(마두)'!P324</f>
        <v>69767000</v>
      </c>
      <c r="E134" s="3133">
        <f t="shared" si="11"/>
        <v>6.8249412880138525E-3</v>
      </c>
      <c r="F134" s="3131">
        <f t="shared" si="64"/>
        <v>-3351000</v>
      </c>
      <c r="G134" s="3132">
        <f t="shared" si="36"/>
        <v>-4.8031304198259919E-2</v>
      </c>
      <c r="H134" s="87"/>
      <c r="I134" s="85"/>
      <c r="J134" s="85"/>
      <c r="K134" s="85"/>
      <c r="L134" s="85"/>
      <c r="M134" s="85"/>
      <c r="N134" s="79"/>
      <c r="O134" s="79"/>
      <c r="P134" s="85"/>
      <c r="Q134" s="85"/>
      <c r="R134" s="85"/>
      <c r="S134" s="85"/>
      <c r="T134" s="85"/>
      <c r="U134" s="85"/>
      <c r="V134" s="85"/>
      <c r="W134" s="79"/>
      <c r="X134" s="79"/>
      <c r="Y134" s="79"/>
      <c r="Z134" s="79"/>
      <c r="AA134" s="79"/>
      <c r="AB134" s="79"/>
      <c r="AC134" s="79"/>
      <c r="AD134" s="79"/>
      <c r="AE134" s="79"/>
      <c r="AF134" s="79"/>
      <c r="AG134" s="79"/>
      <c r="AH134" s="79"/>
      <c r="AI134" s="79"/>
      <c r="AJ134" s="79"/>
      <c r="AK134" s="79"/>
      <c r="AL134" s="79"/>
      <c r="AM134" s="79"/>
      <c r="AN134" s="79"/>
      <c r="AO134" s="79"/>
      <c r="AP134" s="79"/>
      <c r="AQ134" s="79"/>
      <c r="AR134" s="79"/>
      <c r="AS134" s="79"/>
      <c r="AT134" s="79"/>
      <c r="AU134" s="79"/>
      <c r="AV134" s="79"/>
      <c r="AW134" s="79"/>
      <c r="AX134" s="79"/>
      <c r="AY134" s="79"/>
      <c r="AZ134" s="79"/>
      <c r="BA134" s="79"/>
      <c r="BB134" s="79"/>
      <c r="BC134" s="79"/>
      <c r="BD134" s="79"/>
      <c r="BE134" s="79"/>
      <c r="BF134" s="79"/>
      <c r="BG134" s="79"/>
      <c r="BH134" s="79"/>
      <c r="BI134" s="79"/>
      <c r="BJ134" s="79"/>
      <c r="BK134" s="79"/>
      <c r="BL134" s="79"/>
      <c r="BM134" s="79"/>
      <c r="BN134" s="79"/>
      <c r="BO134" s="79"/>
      <c r="BP134" s="79"/>
      <c r="BQ134" s="79"/>
      <c r="BR134" s="79"/>
      <c r="BS134" s="79"/>
      <c r="BT134" s="79"/>
      <c r="BU134" s="79"/>
      <c r="BV134" s="79"/>
      <c r="BW134" s="79"/>
      <c r="BX134" s="79"/>
      <c r="BY134" s="79"/>
      <c r="BZ134" s="79"/>
      <c r="CA134" s="79"/>
      <c r="CB134" s="79"/>
      <c r="CC134" s="79"/>
      <c r="CD134" s="79"/>
      <c r="CE134" s="79"/>
      <c r="CF134" s="79"/>
      <c r="CG134" s="79"/>
      <c r="CH134" s="79"/>
      <c r="CI134" s="79"/>
      <c r="CJ134" s="79"/>
      <c r="CK134" s="79"/>
      <c r="CL134" s="79"/>
      <c r="CM134" s="79"/>
      <c r="CN134" s="79"/>
      <c r="CO134" s="79"/>
      <c r="CP134" s="79"/>
      <c r="CQ134" s="79"/>
      <c r="CR134" s="79"/>
      <c r="CS134" s="79"/>
      <c r="CT134" s="79"/>
      <c r="CU134" s="79"/>
      <c r="CV134" s="79"/>
      <c r="CW134" s="79"/>
      <c r="CX134" s="79"/>
      <c r="CY134" s="79"/>
      <c r="CZ134" s="79"/>
      <c r="DA134" s="79"/>
      <c r="DB134" s="79"/>
      <c r="DC134" s="79"/>
      <c r="DD134" s="79"/>
      <c r="DE134" s="79"/>
      <c r="DF134" s="79"/>
      <c r="DG134" s="79"/>
      <c r="DH134" s="79"/>
      <c r="DI134" s="79"/>
      <c r="DJ134" s="79"/>
      <c r="DK134" s="79"/>
      <c r="DL134" s="79"/>
      <c r="DM134" s="79"/>
      <c r="DN134" s="79"/>
      <c r="DO134" s="79"/>
      <c r="DP134" s="79"/>
      <c r="DQ134" s="79"/>
      <c r="DR134" s="79"/>
      <c r="DS134" s="79"/>
    </row>
    <row r="135" spans="1:123" s="80" customFormat="1" ht="21.95" customHeight="1">
      <c r="A135" s="457" t="s">
        <v>592</v>
      </c>
      <c r="B135" s="3144">
        <f>'예산세출(성사)'!P285</f>
        <v>7900000</v>
      </c>
      <c r="C135" s="3134">
        <f t="shared" si="51"/>
        <v>9.0681323217276931E-4</v>
      </c>
      <c r="D135" s="3144">
        <f>'예산세출(성사)'!R282-'예산세출(성사)'!P283</f>
        <v>9538000</v>
      </c>
      <c r="E135" s="3539">
        <f t="shared" si="11"/>
        <v>9.3305273274006521E-4</v>
      </c>
      <c r="F135" s="3145">
        <f t="shared" si="64"/>
        <v>-1638000</v>
      </c>
      <c r="G135" s="3135">
        <f t="shared" si="36"/>
        <v>-0.17173411616691131</v>
      </c>
      <c r="H135" s="87"/>
      <c r="I135" s="85"/>
      <c r="J135" s="85"/>
      <c r="K135" s="85"/>
      <c r="L135" s="85"/>
      <c r="M135" s="85"/>
      <c r="N135" s="79"/>
      <c r="O135" s="79"/>
      <c r="P135" s="85"/>
      <c r="Q135" s="85"/>
      <c r="R135" s="85"/>
      <c r="S135" s="85"/>
      <c r="T135" s="85"/>
      <c r="U135" s="85"/>
      <c r="V135" s="85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79"/>
      <c r="AP135" s="79"/>
      <c r="AQ135" s="79"/>
      <c r="AR135" s="79"/>
      <c r="AS135" s="79"/>
      <c r="AT135" s="79"/>
      <c r="AU135" s="79"/>
      <c r="AV135" s="79"/>
      <c r="AW135" s="79"/>
      <c r="AX135" s="79"/>
      <c r="AY135" s="79"/>
      <c r="AZ135" s="79"/>
      <c r="BA135" s="79"/>
      <c r="BB135" s="79"/>
      <c r="BC135" s="79"/>
      <c r="BD135" s="79"/>
      <c r="BE135" s="79"/>
      <c r="BF135" s="79"/>
      <c r="BG135" s="79"/>
      <c r="BH135" s="79"/>
      <c r="BI135" s="79"/>
      <c r="BJ135" s="79"/>
      <c r="BK135" s="79"/>
      <c r="BL135" s="79"/>
      <c r="BM135" s="79"/>
      <c r="BN135" s="79"/>
      <c r="BO135" s="79"/>
      <c r="BP135" s="79"/>
      <c r="BQ135" s="79"/>
      <c r="BR135" s="79"/>
      <c r="BS135" s="79"/>
      <c r="BT135" s="79"/>
      <c r="BU135" s="79"/>
      <c r="BV135" s="79"/>
      <c r="BW135" s="79"/>
      <c r="BX135" s="79"/>
      <c r="BY135" s="79"/>
      <c r="BZ135" s="79"/>
      <c r="CA135" s="79"/>
      <c r="CB135" s="79"/>
      <c r="CC135" s="79"/>
      <c r="CD135" s="79"/>
      <c r="CE135" s="79"/>
      <c r="CF135" s="79"/>
      <c r="CG135" s="79"/>
      <c r="CH135" s="79"/>
      <c r="CI135" s="79"/>
      <c r="CJ135" s="79"/>
      <c r="CK135" s="79"/>
      <c r="CL135" s="79"/>
      <c r="CM135" s="79"/>
      <c r="CN135" s="79"/>
      <c r="CO135" s="79"/>
      <c r="CP135" s="79"/>
      <c r="CQ135" s="79"/>
      <c r="CR135" s="79"/>
      <c r="CS135" s="79"/>
      <c r="CT135" s="79"/>
      <c r="CU135" s="79"/>
      <c r="CV135" s="79"/>
      <c r="CW135" s="79"/>
      <c r="CX135" s="79"/>
      <c r="CY135" s="79"/>
      <c r="CZ135" s="79"/>
      <c r="DA135" s="79"/>
      <c r="DB135" s="79"/>
      <c r="DC135" s="79"/>
      <c r="DD135" s="79"/>
      <c r="DE135" s="79"/>
      <c r="DF135" s="79"/>
      <c r="DG135" s="79"/>
      <c r="DH135" s="79"/>
      <c r="DI135" s="79"/>
      <c r="DJ135" s="79"/>
      <c r="DK135" s="79"/>
      <c r="DL135" s="79"/>
      <c r="DM135" s="79"/>
      <c r="DN135" s="79"/>
      <c r="DO135" s="79"/>
      <c r="DP135" s="79"/>
      <c r="DQ135" s="79"/>
      <c r="DR135" s="79"/>
      <c r="DS135" s="79"/>
    </row>
    <row r="136" spans="1:123" s="80" customFormat="1" ht="21.95" customHeight="1">
      <c r="A136" s="437" t="s">
        <v>312</v>
      </c>
      <c r="B136" s="3136">
        <f>'예산세출(탄현)'!P206</f>
        <v>360000</v>
      </c>
      <c r="C136" s="3133">
        <f t="shared" si="51"/>
        <v>4.1323134630657843E-5</v>
      </c>
      <c r="D136" s="3136">
        <v>564000</v>
      </c>
      <c r="E136" s="3133">
        <f t="shared" si="11"/>
        <v>5.5173174802411066E-5</v>
      </c>
      <c r="F136" s="3137">
        <f t="shared" si="64"/>
        <v>-204000</v>
      </c>
      <c r="G136" s="3138">
        <f t="shared" si="36"/>
        <v>-0.36170212765957449</v>
      </c>
      <c r="H136" s="87"/>
      <c r="I136" s="85"/>
      <c r="J136" s="85"/>
      <c r="K136" s="85"/>
      <c r="L136" s="85"/>
      <c r="M136" s="85"/>
      <c r="N136" s="79"/>
      <c r="O136" s="79"/>
      <c r="P136" s="85"/>
      <c r="Q136" s="85"/>
      <c r="R136" s="85"/>
      <c r="S136" s="85"/>
      <c r="T136" s="85"/>
      <c r="U136" s="85"/>
      <c r="V136" s="85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9"/>
      <c r="AS136" s="79"/>
      <c r="AT136" s="79"/>
      <c r="AU136" s="79"/>
      <c r="AV136" s="79"/>
      <c r="AW136" s="79"/>
      <c r="AX136" s="79"/>
      <c r="AY136" s="79"/>
      <c r="AZ136" s="79"/>
      <c r="BA136" s="79"/>
      <c r="BB136" s="79"/>
      <c r="BC136" s="79"/>
      <c r="BD136" s="79"/>
      <c r="BE136" s="79"/>
      <c r="BF136" s="79"/>
      <c r="BG136" s="79"/>
      <c r="BH136" s="79"/>
      <c r="BI136" s="79"/>
      <c r="BJ136" s="79"/>
      <c r="BK136" s="79"/>
      <c r="BL136" s="79"/>
      <c r="BM136" s="79"/>
      <c r="BN136" s="79"/>
      <c r="BO136" s="79"/>
      <c r="BP136" s="79"/>
      <c r="BQ136" s="79"/>
      <c r="BR136" s="79"/>
      <c r="BS136" s="79"/>
      <c r="BT136" s="79"/>
      <c r="BU136" s="79"/>
      <c r="BV136" s="79"/>
      <c r="BW136" s="79"/>
      <c r="BX136" s="79"/>
      <c r="BY136" s="79"/>
      <c r="BZ136" s="79"/>
      <c r="CA136" s="79"/>
      <c r="CB136" s="79"/>
      <c r="CC136" s="79"/>
      <c r="CD136" s="79"/>
      <c r="CE136" s="79"/>
      <c r="CF136" s="79"/>
      <c r="CG136" s="79"/>
      <c r="CH136" s="79"/>
      <c r="CI136" s="79"/>
      <c r="CJ136" s="79"/>
      <c r="CK136" s="79"/>
      <c r="CL136" s="79"/>
      <c r="CM136" s="79"/>
      <c r="CN136" s="79"/>
      <c r="CO136" s="79"/>
      <c r="CP136" s="79"/>
      <c r="CQ136" s="79"/>
      <c r="CR136" s="79"/>
      <c r="CS136" s="79"/>
      <c r="CT136" s="79"/>
      <c r="CU136" s="79"/>
      <c r="CV136" s="79"/>
      <c r="CW136" s="79"/>
      <c r="CX136" s="79"/>
      <c r="CY136" s="79"/>
      <c r="CZ136" s="79"/>
      <c r="DA136" s="79"/>
      <c r="DB136" s="79"/>
      <c r="DC136" s="79"/>
      <c r="DD136" s="79"/>
      <c r="DE136" s="79"/>
      <c r="DF136" s="79"/>
      <c r="DG136" s="79"/>
      <c r="DH136" s="79"/>
      <c r="DI136" s="79"/>
      <c r="DJ136" s="79"/>
      <c r="DK136" s="79"/>
      <c r="DL136" s="79"/>
      <c r="DM136" s="79"/>
      <c r="DN136" s="79"/>
      <c r="DO136" s="79"/>
      <c r="DP136" s="79"/>
      <c r="DQ136" s="79"/>
      <c r="DR136" s="79"/>
      <c r="DS136" s="79"/>
    </row>
    <row r="137" spans="1:123" s="80" customFormat="1" ht="21.95" customHeight="1" thickBot="1">
      <c r="A137" s="458" t="s">
        <v>585</v>
      </c>
      <c r="B137" s="3146">
        <f>'예산세출(토당)'!P387+'예산세출(토당)'!P389</f>
        <v>10490000</v>
      </c>
      <c r="C137" s="3147">
        <f t="shared" ref="C137" si="65">+B137/$B$7</f>
        <v>1.2041102285433355E-3</v>
      </c>
      <c r="D137" s="3146">
        <f>'예산세출(토당)'!R384-'예산세출(토당)'!P385</f>
        <v>30374000</v>
      </c>
      <c r="E137" s="3164">
        <f t="shared" ref="E137" si="66">+D137/$D$7</f>
        <v>2.9713298075326839E-3</v>
      </c>
      <c r="F137" s="3148">
        <f t="shared" si="64"/>
        <v>-19884000</v>
      </c>
      <c r="G137" s="3165">
        <f t="shared" si="36"/>
        <v>-0.65463883584644766</v>
      </c>
      <c r="H137" s="87"/>
      <c r="I137" s="85"/>
      <c r="J137" s="85"/>
      <c r="K137" s="85"/>
      <c r="L137" s="85"/>
      <c r="M137" s="85"/>
      <c r="N137" s="79"/>
      <c r="O137" s="79"/>
      <c r="P137" s="85"/>
      <c r="Q137" s="85"/>
      <c r="R137" s="85"/>
      <c r="S137" s="85"/>
      <c r="T137" s="85"/>
      <c r="U137" s="85"/>
      <c r="V137" s="85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  <c r="AM137" s="79"/>
      <c r="AN137" s="79"/>
      <c r="AO137" s="79"/>
      <c r="AP137" s="79"/>
      <c r="AQ137" s="79"/>
      <c r="AR137" s="79"/>
      <c r="AS137" s="79"/>
      <c r="AT137" s="79"/>
      <c r="AU137" s="79"/>
      <c r="AV137" s="79"/>
      <c r="AW137" s="79"/>
      <c r="AX137" s="79"/>
      <c r="AY137" s="79"/>
      <c r="AZ137" s="79"/>
      <c r="BA137" s="79"/>
      <c r="BB137" s="79"/>
      <c r="BC137" s="79"/>
      <c r="BD137" s="79"/>
      <c r="BE137" s="79"/>
      <c r="BF137" s="79"/>
      <c r="BG137" s="79"/>
      <c r="BH137" s="79"/>
      <c r="BI137" s="79"/>
      <c r="BJ137" s="79"/>
      <c r="BK137" s="79"/>
      <c r="BL137" s="79"/>
      <c r="BM137" s="79"/>
      <c r="BN137" s="79"/>
      <c r="BO137" s="79"/>
      <c r="BP137" s="79"/>
      <c r="BQ137" s="79"/>
      <c r="BR137" s="79"/>
      <c r="BS137" s="79"/>
      <c r="BT137" s="79"/>
      <c r="BU137" s="79"/>
      <c r="BV137" s="79"/>
      <c r="BW137" s="79"/>
      <c r="BX137" s="79"/>
      <c r="BY137" s="79"/>
      <c r="BZ137" s="79"/>
      <c r="CA137" s="79"/>
      <c r="CB137" s="79"/>
      <c r="CC137" s="79"/>
      <c r="CD137" s="79"/>
      <c r="CE137" s="79"/>
      <c r="CF137" s="79"/>
      <c r="CG137" s="79"/>
      <c r="CH137" s="79"/>
      <c r="CI137" s="79"/>
      <c r="CJ137" s="79"/>
      <c r="CK137" s="79"/>
      <c r="CL137" s="79"/>
      <c r="CM137" s="79"/>
      <c r="CN137" s="79"/>
      <c r="CO137" s="79"/>
      <c r="CP137" s="79"/>
      <c r="CQ137" s="79"/>
      <c r="CR137" s="79"/>
      <c r="CS137" s="79"/>
      <c r="CT137" s="79"/>
      <c r="CU137" s="79"/>
      <c r="CV137" s="79"/>
      <c r="CW137" s="79"/>
      <c r="CX137" s="79"/>
      <c r="CY137" s="79"/>
      <c r="CZ137" s="79"/>
      <c r="DA137" s="79"/>
      <c r="DB137" s="79"/>
      <c r="DC137" s="79"/>
      <c r="DD137" s="79"/>
      <c r="DE137" s="79"/>
      <c r="DF137" s="79"/>
      <c r="DG137" s="79"/>
      <c r="DH137" s="79"/>
      <c r="DI137" s="79"/>
      <c r="DJ137" s="79"/>
      <c r="DK137" s="79"/>
      <c r="DL137" s="79"/>
      <c r="DM137" s="79"/>
      <c r="DN137" s="79"/>
      <c r="DO137" s="79"/>
      <c r="DP137" s="79"/>
      <c r="DQ137" s="79"/>
      <c r="DR137" s="79"/>
      <c r="DS137" s="79"/>
    </row>
    <row r="138" spans="1:123" s="90" customFormat="1" ht="21.95" customHeight="1">
      <c r="B138" s="94"/>
      <c r="C138" s="94"/>
      <c r="D138" s="95"/>
      <c r="G138" s="199"/>
      <c r="H138" s="96"/>
      <c r="I138" s="179"/>
      <c r="J138" s="179"/>
      <c r="K138" s="179"/>
      <c r="L138" s="179"/>
      <c r="M138" s="179"/>
      <c r="P138" s="179"/>
      <c r="Q138" s="179"/>
      <c r="R138" s="179"/>
      <c r="S138" s="179"/>
      <c r="T138" s="179"/>
      <c r="U138" s="179"/>
      <c r="V138" s="179"/>
    </row>
    <row r="139" spans="1:123" s="90" customFormat="1" ht="21.95" customHeight="1">
      <c r="B139" s="94"/>
      <c r="C139" s="94"/>
      <c r="D139" s="95"/>
      <c r="G139" s="199"/>
      <c r="I139" s="179"/>
      <c r="J139" s="179"/>
      <c r="K139" s="179"/>
      <c r="L139" s="179"/>
      <c r="M139" s="179"/>
      <c r="P139" s="179"/>
      <c r="Q139" s="179"/>
      <c r="R139" s="179"/>
      <c r="S139" s="179"/>
      <c r="T139" s="179"/>
      <c r="U139" s="179"/>
      <c r="V139" s="179"/>
    </row>
    <row r="140" spans="1:123" s="90" customFormat="1" ht="16.5">
      <c r="B140" s="94"/>
      <c r="C140" s="97"/>
      <c r="D140" s="95"/>
      <c r="G140" s="199"/>
      <c r="I140" s="179"/>
      <c r="J140" s="179"/>
      <c r="K140" s="179"/>
      <c r="L140" s="179"/>
      <c r="M140" s="179"/>
      <c r="P140" s="179"/>
      <c r="Q140" s="179"/>
      <c r="R140" s="179"/>
      <c r="S140" s="179"/>
      <c r="T140" s="179"/>
      <c r="U140" s="179"/>
      <c r="V140" s="179"/>
    </row>
    <row r="141" spans="1:123" s="90" customFormat="1" ht="16.5">
      <c r="B141" s="94"/>
      <c r="C141" s="94"/>
      <c r="D141" s="95"/>
      <c r="G141" s="199"/>
      <c r="I141" s="179"/>
      <c r="J141" s="179"/>
      <c r="K141" s="179"/>
      <c r="L141" s="179"/>
      <c r="M141" s="179"/>
      <c r="P141" s="179"/>
      <c r="Q141" s="179"/>
      <c r="R141" s="179"/>
      <c r="S141" s="179"/>
      <c r="T141" s="179"/>
      <c r="U141" s="179"/>
      <c r="V141" s="179"/>
    </row>
    <row r="142" spans="1:123" s="90" customFormat="1" ht="16.5">
      <c r="B142" s="94"/>
      <c r="C142" s="94"/>
      <c r="D142" s="95"/>
      <c r="G142" s="199"/>
      <c r="I142" s="179"/>
      <c r="J142" s="179"/>
      <c r="K142" s="179"/>
      <c r="L142" s="179"/>
      <c r="M142" s="179"/>
      <c r="P142" s="179"/>
      <c r="Q142" s="179"/>
      <c r="R142" s="179"/>
      <c r="S142" s="179"/>
      <c r="T142" s="179"/>
      <c r="U142" s="179"/>
      <c r="V142" s="179"/>
    </row>
    <row r="143" spans="1:123" s="90" customFormat="1" ht="16.5">
      <c r="B143" s="94"/>
      <c r="C143" s="94"/>
      <c r="D143" s="95"/>
      <c r="G143" s="199"/>
      <c r="I143" s="179"/>
      <c r="J143" s="179"/>
      <c r="K143" s="179"/>
      <c r="L143" s="179"/>
      <c r="M143" s="179"/>
      <c r="P143" s="179"/>
      <c r="Q143" s="179"/>
      <c r="R143" s="179"/>
      <c r="S143" s="179"/>
      <c r="T143" s="179"/>
      <c r="U143" s="179"/>
      <c r="V143" s="179"/>
    </row>
    <row r="144" spans="1:123" s="90" customFormat="1" ht="16.5">
      <c r="B144" s="94"/>
      <c r="C144" s="94"/>
      <c r="D144" s="95"/>
      <c r="G144" s="199"/>
      <c r="I144" s="179"/>
      <c r="J144" s="179"/>
      <c r="K144" s="179"/>
      <c r="L144" s="179"/>
      <c r="M144" s="179"/>
      <c r="P144" s="179"/>
      <c r="Q144" s="179"/>
      <c r="R144" s="179"/>
      <c r="S144" s="179"/>
      <c r="T144" s="179"/>
      <c r="U144" s="179"/>
      <c r="V144" s="179"/>
    </row>
    <row r="145" spans="2:22" s="90" customFormat="1" ht="16.5">
      <c r="B145" s="94"/>
      <c r="C145" s="94"/>
      <c r="D145" s="95"/>
      <c r="G145" s="199"/>
      <c r="I145" s="179"/>
      <c r="J145" s="179"/>
      <c r="K145" s="179"/>
      <c r="L145" s="179"/>
      <c r="M145" s="179"/>
      <c r="P145" s="179"/>
      <c r="Q145" s="179"/>
      <c r="R145" s="179"/>
      <c r="S145" s="179"/>
      <c r="T145" s="179"/>
      <c r="U145" s="179"/>
      <c r="V145" s="179"/>
    </row>
    <row r="146" spans="2:22" s="90" customFormat="1" ht="16.5">
      <c r="B146" s="94"/>
      <c r="C146" s="94"/>
      <c r="D146" s="95"/>
      <c r="G146" s="199"/>
      <c r="I146" s="179"/>
      <c r="J146" s="179"/>
      <c r="K146" s="179"/>
      <c r="L146" s="179"/>
      <c r="M146" s="179"/>
      <c r="P146" s="179"/>
      <c r="Q146" s="179"/>
      <c r="R146" s="179"/>
      <c r="S146" s="179"/>
      <c r="T146" s="179"/>
      <c r="U146" s="179"/>
      <c r="V146" s="179"/>
    </row>
    <row r="147" spans="2:22" s="90" customFormat="1" ht="16.5">
      <c r="B147" s="94"/>
      <c r="C147" s="94"/>
      <c r="D147" s="95"/>
      <c r="G147" s="199"/>
      <c r="I147" s="179"/>
      <c r="J147" s="179"/>
      <c r="K147" s="179"/>
      <c r="L147" s="179"/>
      <c r="M147" s="179"/>
      <c r="P147" s="179"/>
      <c r="Q147" s="179"/>
      <c r="R147" s="179"/>
      <c r="S147" s="179"/>
      <c r="T147" s="179"/>
      <c r="U147" s="179"/>
      <c r="V147" s="179"/>
    </row>
    <row r="148" spans="2:22" s="90" customFormat="1" ht="16.5">
      <c r="B148" s="94"/>
      <c r="C148" s="94"/>
      <c r="D148" s="95"/>
      <c r="G148" s="199"/>
      <c r="I148" s="179"/>
      <c r="J148" s="179"/>
      <c r="K148" s="179"/>
      <c r="L148" s="179"/>
      <c r="M148" s="179"/>
      <c r="P148" s="179"/>
      <c r="Q148" s="179"/>
      <c r="R148" s="179"/>
      <c r="S148" s="179"/>
      <c r="T148" s="179"/>
      <c r="U148" s="179"/>
      <c r="V148" s="179"/>
    </row>
    <row r="149" spans="2:22" s="90" customFormat="1" ht="16.5">
      <c r="B149" s="94"/>
      <c r="C149" s="94"/>
      <c r="D149" s="95"/>
      <c r="G149" s="199"/>
      <c r="I149" s="179"/>
      <c r="J149" s="179"/>
      <c r="K149" s="179"/>
      <c r="L149" s="179"/>
      <c r="M149" s="179"/>
      <c r="P149" s="179"/>
      <c r="Q149" s="179"/>
      <c r="R149" s="179"/>
      <c r="S149" s="179"/>
      <c r="T149" s="179"/>
      <c r="U149" s="179"/>
      <c r="V149" s="179"/>
    </row>
    <row r="150" spans="2:22" s="90" customFormat="1" ht="16.5">
      <c r="B150" s="94"/>
      <c r="C150" s="94"/>
      <c r="D150" s="95"/>
      <c r="G150" s="199"/>
      <c r="I150" s="179"/>
      <c r="J150" s="179"/>
      <c r="K150" s="179"/>
      <c r="L150" s="179"/>
      <c r="M150" s="179"/>
      <c r="P150" s="179"/>
      <c r="Q150" s="179"/>
      <c r="R150" s="179"/>
      <c r="S150" s="179"/>
      <c r="T150" s="179"/>
      <c r="U150" s="179"/>
      <c r="V150" s="179"/>
    </row>
    <row r="151" spans="2:22" s="90" customFormat="1" ht="16.5">
      <c r="B151" s="94"/>
      <c r="C151" s="94"/>
      <c r="D151" s="95"/>
      <c r="G151" s="199"/>
      <c r="I151" s="179"/>
      <c r="J151" s="179"/>
      <c r="K151" s="179"/>
      <c r="L151" s="179"/>
      <c r="M151" s="179"/>
      <c r="P151" s="179"/>
      <c r="Q151" s="179"/>
      <c r="R151" s="179"/>
      <c r="S151" s="179"/>
      <c r="T151" s="179"/>
      <c r="U151" s="179"/>
      <c r="V151" s="179"/>
    </row>
    <row r="152" spans="2:22" s="90" customFormat="1" ht="16.5">
      <c r="B152" s="94"/>
      <c r="C152" s="94"/>
      <c r="D152" s="95"/>
      <c r="G152" s="199"/>
      <c r="I152" s="179"/>
      <c r="J152" s="179"/>
      <c r="K152" s="179"/>
      <c r="L152" s="179"/>
      <c r="M152" s="179"/>
      <c r="P152" s="179"/>
      <c r="Q152" s="179"/>
      <c r="R152" s="179"/>
      <c r="S152" s="179"/>
      <c r="T152" s="179"/>
      <c r="U152" s="179"/>
      <c r="V152" s="179"/>
    </row>
    <row r="153" spans="2:22" s="90" customFormat="1" ht="16.5">
      <c r="B153" s="94"/>
      <c r="C153" s="94"/>
      <c r="D153" s="95"/>
      <c r="G153" s="199"/>
      <c r="I153" s="179"/>
      <c r="J153" s="179"/>
      <c r="K153" s="179"/>
      <c r="L153" s="179"/>
      <c r="M153" s="179"/>
      <c r="P153" s="179"/>
      <c r="Q153" s="179"/>
      <c r="R153" s="179"/>
      <c r="S153" s="179"/>
      <c r="T153" s="179"/>
      <c r="U153" s="179"/>
      <c r="V153" s="179"/>
    </row>
    <row r="154" spans="2:22" s="90" customFormat="1" ht="16.5">
      <c r="B154" s="94"/>
      <c r="C154" s="94"/>
      <c r="D154" s="95"/>
      <c r="G154" s="199"/>
      <c r="I154" s="179"/>
      <c r="J154" s="179"/>
      <c r="K154" s="179"/>
      <c r="L154" s="179"/>
      <c r="M154" s="179"/>
      <c r="P154" s="179"/>
      <c r="Q154" s="179"/>
      <c r="R154" s="179"/>
      <c r="S154" s="179"/>
      <c r="T154" s="179"/>
      <c r="U154" s="179"/>
      <c r="V154" s="179"/>
    </row>
    <row r="155" spans="2:22" s="90" customFormat="1" ht="16.5">
      <c r="B155" s="94"/>
      <c r="C155" s="94"/>
      <c r="D155" s="95"/>
      <c r="G155" s="199"/>
      <c r="I155" s="179"/>
      <c r="J155" s="179"/>
      <c r="K155" s="179"/>
      <c r="L155" s="179"/>
      <c r="M155" s="179"/>
      <c r="P155" s="179"/>
      <c r="Q155" s="179"/>
      <c r="R155" s="179"/>
      <c r="S155" s="179"/>
      <c r="T155" s="179"/>
      <c r="U155" s="179"/>
      <c r="V155" s="179"/>
    </row>
    <row r="156" spans="2:22" s="90" customFormat="1" ht="16.5">
      <c r="B156" s="94"/>
      <c r="C156" s="94"/>
      <c r="D156" s="95"/>
      <c r="G156" s="199"/>
      <c r="I156" s="179"/>
      <c r="J156" s="179"/>
      <c r="K156" s="179"/>
      <c r="L156" s="179"/>
      <c r="M156" s="179"/>
      <c r="P156" s="179"/>
      <c r="Q156" s="179"/>
      <c r="R156" s="179"/>
      <c r="S156" s="179"/>
      <c r="T156" s="179"/>
      <c r="U156" s="179"/>
      <c r="V156" s="179"/>
    </row>
    <row r="157" spans="2:22" s="90" customFormat="1" ht="16.5">
      <c r="B157" s="94"/>
      <c r="C157" s="94"/>
      <c r="D157" s="95"/>
      <c r="G157" s="199"/>
      <c r="I157" s="179"/>
      <c r="J157" s="179"/>
      <c r="K157" s="179"/>
      <c r="L157" s="179"/>
      <c r="M157" s="179"/>
      <c r="P157" s="179"/>
      <c r="Q157" s="179"/>
      <c r="R157" s="179"/>
      <c r="S157" s="179"/>
      <c r="T157" s="179"/>
      <c r="U157" s="179"/>
      <c r="V157" s="179"/>
    </row>
    <row r="158" spans="2:22" s="90" customFormat="1" ht="16.5">
      <c r="B158" s="94"/>
      <c r="C158" s="94"/>
      <c r="D158" s="95"/>
      <c r="G158" s="199"/>
      <c r="I158" s="179"/>
      <c r="J158" s="179"/>
      <c r="K158" s="179"/>
      <c r="L158" s="179"/>
      <c r="M158" s="179"/>
      <c r="P158" s="179"/>
      <c r="Q158" s="179"/>
      <c r="R158" s="179"/>
      <c r="S158" s="179"/>
      <c r="T158" s="179"/>
      <c r="U158" s="179"/>
      <c r="V158" s="179"/>
    </row>
    <row r="159" spans="2:22" s="90" customFormat="1" ht="16.5">
      <c r="B159" s="94"/>
      <c r="C159" s="94"/>
      <c r="D159" s="95"/>
      <c r="G159" s="199"/>
      <c r="I159" s="179"/>
      <c r="J159" s="179"/>
      <c r="K159" s="179"/>
      <c r="L159" s="179"/>
      <c r="M159" s="179"/>
      <c r="P159" s="179"/>
      <c r="Q159" s="179"/>
      <c r="R159" s="179"/>
      <c r="S159" s="179"/>
      <c r="T159" s="179"/>
      <c r="U159" s="179"/>
      <c r="V159" s="179"/>
    </row>
    <row r="160" spans="2:22" s="90" customFormat="1" ht="16.5">
      <c r="B160" s="94"/>
      <c r="C160" s="94"/>
      <c r="D160" s="95"/>
      <c r="G160" s="199"/>
      <c r="I160" s="179"/>
      <c r="J160" s="179"/>
      <c r="K160" s="179"/>
      <c r="L160" s="179"/>
      <c r="M160" s="179"/>
      <c r="P160" s="179"/>
      <c r="Q160" s="179"/>
      <c r="R160" s="179"/>
      <c r="S160" s="179"/>
      <c r="T160" s="179"/>
      <c r="U160" s="179"/>
      <c r="V160" s="179"/>
    </row>
    <row r="161" spans="2:22" s="90" customFormat="1" ht="16.5">
      <c r="B161" s="94"/>
      <c r="C161" s="94"/>
      <c r="D161" s="95"/>
      <c r="G161" s="199"/>
      <c r="I161" s="179"/>
      <c r="J161" s="179"/>
      <c r="K161" s="179"/>
      <c r="L161" s="179"/>
      <c r="M161" s="179"/>
      <c r="P161" s="179"/>
      <c r="Q161" s="179"/>
      <c r="R161" s="179"/>
      <c r="S161" s="179"/>
      <c r="T161" s="179"/>
      <c r="U161" s="179"/>
      <c r="V161" s="179"/>
    </row>
    <row r="162" spans="2:22" s="90" customFormat="1" ht="16.5">
      <c r="B162" s="94"/>
      <c r="C162" s="94"/>
      <c r="D162" s="95"/>
      <c r="G162" s="199"/>
      <c r="I162" s="179"/>
      <c r="J162" s="179"/>
      <c r="K162" s="179"/>
      <c r="L162" s="179"/>
      <c r="M162" s="179"/>
      <c r="P162" s="179"/>
      <c r="Q162" s="179"/>
      <c r="R162" s="179"/>
      <c r="S162" s="179"/>
      <c r="T162" s="179"/>
      <c r="U162" s="179"/>
      <c r="V162" s="179"/>
    </row>
    <row r="163" spans="2:22" s="90" customFormat="1" ht="16.5">
      <c r="B163" s="94"/>
      <c r="C163" s="94"/>
      <c r="D163" s="95"/>
      <c r="G163" s="199"/>
      <c r="I163" s="179"/>
      <c r="J163" s="179"/>
      <c r="K163" s="179"/>
      <c r="L163" s="179"/>
      <c r="M163" s="179"/>
      <c r="P163" s="179"/>
      <c r="Q163" s="179"/>
      <c r="R163" s="179"/>
      <c r="S163" s="179"/>
      <c r="T163" s="179"/>
      <c r="U163" s="179"/>
      <c r="V163" s="179"/>
    </row>
    <row r="164" spans="2:22" s="90" customFormat="1" ht="16.5">
      <c r="B164" s="94"/>
      <c r="C164" s="94"/>
      <c r="D164" s="95"/>
      <c r="G164" s="199"/>
      <c r="I164" s="179"/>
      <c r="J164" s="179"/>
      <c r="K164" s="179"/>
      <c r="L164" s="179"/>
      <c r="M164" s="179"/>
      <c r="P164" s="179"/>
      <c r="Q164" s="179"/>
      <c r="R164" s="179"/>
      <c r="S164" s="179"/>
      <c r="T164" s="179"/>
      <c r="U164" s="179"/>
      <c r="V164" s="179"/>
    </row>
    <row r="165" spans="2:22" s="90" customFormat="1" ht="16.5">
      <c r="B165" s="94"/>
      <c r="C165" s="94"/>
      <c r="D165" s="95"/>
      <c r="G165" s="199"/>
      <c r="I165" s="179"/>
      <c r="J165" s="179"/>
      <c r="K165" s="179"/>
      <c r="L165" s="179"/>
      <c r="M165" s="179"/>
      <c r="P165" s="179"/>
      <c r="Q165" s="179"/>
      <c r="R165" s="179"/>
      <c r="S165" s="179"/>
      <c r="T165" s="179"/>
      <c r="U165" s="179"/>
      <c r="V165" s="179"/>
    </row>
    <row r="166" spans="2:22" s="90" customFormat="1" ht="16.5">
      <c r="B166" s="94"/>
      <c r="C166" s="94"/>
      <c r="D166" s="95"/>
      <c r="G166" s="199"/>
      <c r="I166" s="179"/>
      <c r="J166" s="179"/>
      <c r="K166" s="179"/>
      <c r="L166" s="179"/>
      <c r="M166" s="179"/>
      <c r="P166" s="179"/>
      <c r="Q166" s="179"/>
      <c r="R166" s="179"/>
      <c r="S166" s="179"/>
      <c r="T166" s="179"/>
      <c r="U166" s="179"/>
      <c r="V166" s="179"/>
    </row>
    <row r="167" spans="2:22" s="90" customFormat="1" ht="16.5">
      <c r="B167" s="94"/>
      <c r="C167" s="94"/>
      <c r="D167" s="95"/>
      <c r="G167" s="199"/>
      <c r="I167" s="179"/>
      <c r="J167" s="179"/>
      <c r="K167" s="179"/>
      <c r="L167" s="179"/>
      <c r="M167" s="179"/>
      <c r="P167" s="179"/>
      <c r="Q167" s="179"/>
      <c r="R167" s="179"/>
      <c r="S167" s="179"/>
      <c r="T167" s="179"/>
      <c r="U167" s="179"/>
      <c r="V167" s="179"/>
    </row>
    <row r="168" spans="2:22" s="90" customFormat="1" ht="16.5">
      <c r="B168" s="94"/>
      <c r="C168" s="94"/>
      <c r="D168" s="95"/>
      <c r="G168" s="199"/>
      <c r="I168" s="179"/>
      <c r="J168" s="179"/>
      <c r="K168" s="179"/>
      <c r="L168" s="179"/>
      <c r="M168" s="179"/>
      <c r="P168" s="179"/>
      <c r="Q168" s="179"/>
      <c r="R168" s="179"/>
      <c r="S168" s="179"/>
      <c r="T168" s="179"/>
      <c r="U168" s="179"/>
      <c r="V168" s="179"/>
    </row>
    <row r="169" spans="2:22" s="90" customFormat="1" ht="16.5">
      <c r="B169" s="94"/>
      <c r="C169" s="94"/>
      <c r="D169" s="95"/>
      <c r="G169" s="199"/>
      <c r="I169" s="179"/>
      <c r="J169" s="179"/>
      <c r="K169" s="179"/>
      <c r="L169" s="179"/>
      <c r="M169" s="179"/>
      <c r="P169" s="179"/>
      <c r="Q169" s="179"/>
      <c r="R169" s="179"/>
      <c r="S169" s="179"/>
      <c r="T169" s="179"/>
      <c r="U169" s="179"/>
      <c r="V169" s="179"/>
    </row>
    <row r="170" spans="2:22" s="90" customFormat="1" ht="16.5">
      <c r="B170" s="94"/>
      <c r="C170" s="94"/>
      <c r="D170" s="95"/>
      <c r="G170" s="199"/>
      <c r="I170" s="179"/>
      <c r="J170" s="179"/>
      <c r="K170" s="179"/>
      <c r="L170" s="179"/>
      <c r="M170" s="179"/>
      <c r="P170" s="179"/>
      <c r="Q170" s="179"/>
      <c r="R170" s="179"/>
      <c r="S170" s="179"/>
      <c r="T170" s="179"/>
      <c r="U170" s="179"/>
      <c r="V170" s="179"/>
    </row>
    <row r="171" spans="2:22" s="90" customFormat="1" ht="16.5">
      <c r="B171" s="94"/>
      <c r="C171" s="94"/>
      <c r="D171" s="95"/>
      <c r="G171" s="199"/>
      <c r="I171" s="179"/>
      <c r="J171" s="179"/>
      <c r="K171" s="179"/>
      <c r="L171" s="179"/>
      <c r="M171" s="179"/>
      <c r="P171" s="179"/>
      <c r="Q171" s="179"/>
      <c r="R171" s="179"/>
      <c r="S171" s="179"/>
      <c r="T171" s="179"/>
      <c r="U171" s="179"/>
      <c r="V171" s="179"/>
    </row>
    <row r="172" spans="2:22" s="90" customFormat="1" ht="16.5">
      <c r="B172" s="94"/>
      <c r="C172" s="94"/>
      <c r="D172" s="95"/>
      <c r="G172" s="199"/>
      <c r="I172" s="179"/>
      <c r="J172" s="179"/>
      <c r="K172" s="179"/>
      <c r="L172" s="179"/>
      <c r="M172" s="179"/>
      <c r="P172" s="179"/>
      <c r="Q172" s="179"/>
      <c r="R172" s="179"/>
      <c r="S172" s="179"/>
      <c r="T172" s="179"/>
      <c r="U172" s="179"/>
      <c r="V172" s="179"/>
    </row>
    <row r="173" spans="2:22" s="90" customFormat="1" ht="16.5">
      <c r="B173" s="94"/>
      <c r="C173" s="94"/>
      <c r="D173" s="95"/>
      <c r="G173" s="199"/>
      <c r="I173" s="179"/>
      <c r="J173" s="179"/>
      <c r="K173" s="179"/>
      <c r="L173" s="179"/>
      <c r="M173" s="179"/>
      <c r="P173" s="179"/>
      <c r="Q173" s="179"/>
      <c r="R173" s="179"/>
      <c r="S173" s="179"/>
      <c r="T173" s="179"/>
      <c r="U173" s="179"/>
      <c r="V173" s="179"/>
    </row>
    <row r="174" spans="2:22" s="90" customFormat="1" ht="16.5">
      <c r="B174" s="94"/>
      <c r="C174" s="94"/>
      <c r="D174" s="95"/>
      <c r="G174" s="199"/>
      <c r="I174" s="179"/>
      <c r="J174" s="179"/>
      <c r="K174" s="179"/>
      <c r="L174" s="179"/>
      <c r="M174" s="179"/>
      <c r="P174" s="179"/>
      <c r="Q174" s="179"/>
      <c r="R174" s="179"/>
      <c r="S174" s="179"/>
      <c r="T174" s="179"/>
      <c r="U174" s="179"/>
      <c r="V174" s="179"/>
    </row>
    <row r="175" spans="2:22" s="90" customFormat="1" ht="16.5">
      <c r="B175" s="94"/>
      <c r="C175" s="94"/>
      <c r="D175" s="95"/>
      <c r="G175" s="199"/>
      <c r="I175" s="179"/>
      <c r="J175" s="179"/>
      <c r="K175" s="179"/>
      <c r="L175" s="179"/>
      <c r="M175" s="179"/>
      <c r="P175" s="179"/>
      <c r="Q175" s="179"/>
      <c r="R175" s="179"/>
      <c r="S175" s="179"/>
      <c r="T175" s="179"/>
      <c r="U175" s="179"/>
      <c r="V175" s="179"/>
    </row>
    <row r="176" spans="2:22" s="90" customFormat="1" ht="16.5">
      <c r="B176" s="94"/>
      <c r="C176" s="94"/>
      <c r="D176" s="95"/>
      <c r="G176" s="199"/>
      <c r="I176" s="179"/>
      <c r="J176" s="179"/>
      <c r="K176" s="179"/>
      <c r="L176" s="179"/>
      <c r="M176" s="179"/>
      <c r="P176" s="179"/>
      <c r="Q176" s="179"/>
      <c r="R176" s="179"/>
      <c r="S176" s="179"/>
      <c r="T176" s="179"/>
      <c r="U176" s="179"/>
      <c r="V176" s="179"/>
    </row>
    <row r="177" spans="2:22" s="90" customFormat="1" ht="21.75" customHeight="1">
      <c r="B177" s="94"/>
      <c r="C177" s="94"/>
      <c r="D177" s="95"/>
      <c r="G177" s="199"/>
      <c r="I177" s="179"/>
      <c r="J177" s="179"/>
      <c r="K177" s="179"/>
      <c r="L177" s="179"/>
      <c r="M177" s="179"/>
      <c r="P177" s="179"/>
      <c r="Q177" s="179"/>
      <c r="R177" s="179"/>
      <c r="S177" s="179"/>
      <c r="T177" s="179"/>
      <c r="U177" s="179"/>
      <c r="V177" s="179"/>
    </row>
    <row r="178" spans="2:22" s="90" customFormat="1" ht="21.75" customHeight="1">
      <c r="B178" s="94"/>
      <c r="C178" s="94"/>
      <c r="D178" s="95"/>
      <c r="G178" s="199"/>
      <c r="I178" s="179"/>
      <c r="J178" s="179"/>
      <c r="K178" s="179"/>
      <c r="L178" s="179"/>
      <c r="M178" s="179"/>
      <c r="P178" s="179"/>
      <c r="Q178" s="179"/>
      <c r="R178" s="179"/>
      <c r="S178" s="179"/>
      <c r="T178" s="179"/>
      <c r="U178" s="179"/>
      <c r="V178" s="179"/>
    </row>
    <row r="179" spans="2:22" s="90" customFormat="1" ht="21.75" customHeight="1">
      <c r="B179" s="94"/>
      <c r="C179" s="94"/>
      <c r="D179" s="95"/>
      <c r="G179" s="199"/>
      <c r="I179" s="179"/>
      <c r="J179" s="179"/>
      <c r="K179" s="179"/>
      <c r="L179" s="179"/>
      <c r="M179" s="179"/>
      <c r="P179" s="179"/>
      <c r="Q179" s="179"/>
      <c r="R179" s="179"/>
      <c r="S179" s="179"/>
      <c r="T179" s="179"/>
      <c r="U179" s="179"/>
      <c r="V179" s="179"/>
    </row>
    <row r="180" spans="2:22" s="90" customFormat="1" ht="21.75" customHeight="1">
      <c r="B180" s="94"/>
      <c r="C180" s="94"/>
      <c r="D180" s="95"/>
      <c r="G180" s="199"/>
      <c r="I180" s="179"/>
      <c r="J180" s="179"/>
      <c r="K180" s="179"/>
      <c r="L180" s="179"/>
      <c r="M180" s="179"/>
      <c r="P180" s="179"/>
      <c r="Q180" s="179"/>
      <c r="R180" s="179"/>
      <c r="S180" s="179"/>
      <c r="T180" s="179"/>
      <c r="U180" s="179"/>
      <c r="V180" s="179"/>
    </row>
    <row r="181" spans="2:22" s="90" customFormat="1" ht="21.75" customHeight="1">
      <c r="B181" s="94"/>
      <c r="C181" s="94"/>
      <c r="D181" s="95"/>
      <c r="G181" s="199"/>
      <c r="I181" s="179"/>
      <c r="J181" s="179"/>
      <c r="K181" s="179"/>
      <c r="L181" s="179"/>
      <c r="M181" s="179"/>
      <c r="P181" s="179"/>
      <c r="Q181" s="179"/>
      <c r="R181" s="179"/>
      <c r="S181" s="179"/>
      <c r="T181" s="179"/>
      <c r="U181" s="179"/>
      <c r="V181" s="179"/>
    </row>
    <row r="182" spans="2:22" s="90" customFormat="1" ht="21.75" customHeight="1">
      <c r="B182" s="94"/>
      <c r="C182" s="94"/>
      <c r="D182" s="95"/>
      <c r="G182" s="199"/>
      <c r="I182" s="179"/>
      <c r="J182" s="179"/>
      <c r="K182" s="179"/>
      <c r="L182" s="179"/>
      <c r="M182" s="179"/>
      <c r="P182" s="179"/>
      <c r="Q182" s="179"/>
      <c r="R182" s="179"/>
      <c r="S182" s="179"/>
      <c r="T182" s="179"/>
      <c r="U182" s="179"/>
      <c r="V182" s="179"/>
    </row>
    <row r="183" spans="2:22" s="90" customFormat="1" ht="21.75" customHeight="1">
      <c r="B183" s="94"/>
      <c r="C183" s="94"/>
      <c r="D183" s="95"/>
      <c r="G183" s="199"/>
      <c r="I183" s="179"/>
      <c r="J183" s="179"/>
      <c r="K183" s="179"/>
      <c r="L183" s="179"/>
      <c r="M183" s="179"/>
      <c r="P183" s="179"/>
      <c r="Q183" s="179"/>
      <c r="R183" s="179"/>
      <c r="S183" s="179"/>
      <c r="T183" s="179"/>
      <c r="U183" s="179"/>
      <c r="V183" s="179"/>
    </row>
    <row r="184" spans="2:22" s="90" customFormat="1" ht="21.75" customHeight="1">
      <c r="B184" s="94"/>
      <c r="C184" s="94"/>
      <c r="D184" s="95"/>
      <c r="G184" s="199"/>
      <c r="I184" s="179"/>
      <c r="J184" s="179"/>
      <c r="K184" s="179"/>
      <c r="L184" s="179"/>
      <c r="M184" s="179"/>
      <c r="P184" s="179"/>
      <c r="Q184" s="179"/>
      <c r="R184" s="179"/>
      <c r="S184" s="179"/>
      <c r="T184" s="179"/>
      <c r="U184" s="179"/>
      <c r="V184" s="179"/>
    </row>
    <row r="185" spans="2:22" s="90" customFormat="1" ht="21.75" customHeight="1">
      <c r="B185" s="94"/>
      <c r="C185" s="94"/>
      <c r="D185" s="95"/>
      <c r="G185" s="199"/>
      <c r="I185" s="179"/>
      <c r="J185" s="179"/>
      <c r="K185" s="179"/>
      <c r="L185" s="179"/>
      <c r="M185" s="179"/>
      <c r="P185" s="179"/>
      <c r="Q185" s="179"/>
      <c r="R185" s="179"/>
      <c r="S185" s="179"/>
      <c r="T185" s="179"/>
      <c r="U185" s="179"/>
      <c r="V185" s="179"/>
    </row>
    <row r="186" spans="2:22" s="90" customFormat="1" ht="21.75" customHeight="1">
      <c r="B186" s="94"/>
      <c r="C186" s="94"/>
      <c r="D186" s="95"/>
      <c r="G186" s="199"/>
      <c r="I186" s="179"/>
      <c r="J186" s="179"/>
      <c r="K186" s="179"/>
      <c r="L186" s="179"/>
      <c r="M186" s="179"/>
      <c r="P186" s="179"/>
      <c r="Q186" s="179"/>
      <c r="R186" s="179"/>
      <c r="S186" s="179"/>
      <c r="T186" s="179"/>
      <c r="U186" s="179"/>
      <c r="V186" s="179"/>
    </row>
    <row r="187" spans="2:22" s="90" customFormat="1" ht="21.75" customHeight="1">
      <c r="B187" s="94"/>
      <c r="C187" s="94"/>
      <c r="D187" s="95"/>
      <c r="G187" s="199"/>
      <c r="I187" s="179"/>
      <c r="J187" s="179"/>
      <c r="K187" s="179"/>
      <c r="L187" s="179"/>
      <c r="M187" s="179"/>
      <c r="P187" s="179"/>
      <c r="Q187" s="179"/>
      <c r="R187" s="179"/>
      <c r="S187" s="179"/>
      <c r="T187" s="179"/>
      <c r="U187" s="179"/>
      <c r="V187" s="179"/>
    </row>
    <row r="188" spans="2:22" s="90" customFormat="1" ht="21.75" customHeight="1">
      <c r="B188" s="94"/>
      <c r="C188" s="94"/>
      <c r="D188" s="95"/>
      <c r="G188" s="199"/>
      <c r="I188" s="179"/>
      <c r="J188" s="179"/>
      <c r="K188" s="179"/>
      <c r="L188" s="179"/>
      <c r="M188" s="179"/>
      <c r="P188" s="179"/>
      <c r="Q188" s="179"/>
      <c r="R188" s="179"/>
      <c r="S188" s="179"/>
      <c r="T188" s="179"/>
      <c r="U188" s="179"/>
      <c r="V188" s="179"/>
    </row>
    <row r="189" spans="2:22" s="90" customFormat="1" ht="21.75" customHeight="1">
      <c r="B189" s="94"/>
      <c r="C189" s="94"/>
      <c r="D189" s="95"/>
      <c r="G189" s="199"/>
      <c r="I189" s="179"/>
      <c r="J189" s="179"/>
      <c r="K189" s="179"/>
      <c r="L189" s="179"/>
      <c r="M189" s="179"/>
      <c r="P189" s="179"/>
      <c r="Q189" s="179"/>
      <c r="R189" s="179"/>
      <c r="S189" s="179"/>
      <c r="T189" s="179"/>
      <c r="U189" s="179"/>
      <c r="V189" s="179"/>
    </row>
    <row r="190" spans="2:22" s="90" customFormat="1" ht="21.75" customHeight="1">
      <c r="B190" s="94"/>
      <c r="C190" s="94"/>
      <c r="D190" s="95"/>
      <c r="G190" s="199"/>
      <c r="I190" s="179"/>
      <c r="J190" s="179"/>
      <c r="K190" s="179"/>
      <c r="L190" s="179"/>
      <c r="M190" s="179"/>
      <c r="P190" s="179"/>
      <c r="Q190" s="179"/>
      <c r="R190" s="179"/>
      <c r="S190" s="179"/>
      <c r="T190" s="179"/>
      <c r="U190" s="179"/>
      <c r="V190" s="179"/>
    </row>
    <row r="191" spans="2:22" s="90" customFormat="1" ht="21.75" customHeight="1">
      <c r="B191" s="94"/>
      <c r="C191" s="94"/>
      <c r="D191" s="95"/>
      <c r="G191" s="199"/>
      <c r="I191" s="179"/>
      <c r="J191" s="179"/>
      <c r="K191" s="179"/>
      <c r="L191" s="179"/>
      <c r="M191" s="179"/>
      <c r="P191" s="179"/>
      <c r="Q191" s="179"/>
      <c r="R191" s="179"/>
      <c r="S191" s="179"/>
      <c r="T191" s="179"/>
      <c r="U191" s="179"/>
      <c r="V191" s="179"/>
    </row>
    <row r="192" spans="2:22" s="90" customFormat="1" ht="21.75" customHeight="1">
      <c r="B192" s="94"/>
      <c r="C192" s="94"/>
      <c r="D192" s="95"/>
      <c r="G192" s="199"/>
      <c r="I192" s="179"/>
      <c r="J192" s="179"/>
      <c r="K192" s="179"/>
      <c r="L192" s="179"/>
      <c r="M192" s="179"/>
      <c r="P192" s="179"/>
      <c r="Q192" s="179"/>
      <c r="R192" s="179"/>
      <c r="S192" s="179"/>
      <c r="T192" s="179"/>
      <c r="U192" s="179"/>
      <c r="V192" s="179"/>
    </row>
    <row r="193" spans="2:22" s="90" customFormat="1" ht="21.75" customHeight="1">
      <c r="B193" s="94"/>
      <c r="C193" s="94"/>
      <c r="D193" s="95"/>
      <c r="G193" s="199"/>
      <c r="I193" s="179"/>
      <c r="J193" s="179"/>
      <c r="K193" s="179"/>
      <c r="L193" s="179"/>
      <c r="M193" s="179"/>
      <c r="P193" s="179"/>
      <c r="Q193" s="179"/>
      <c r="R193" s="179"/>
      <c r="S193" s="179"/>
      <c r="T193" s="179"/>
      <c r="U193" s="179"/>
      <c r="V193" s="179"/>
    </row>
    <row r="194" spans="2:22" s="90" customFormat="1" ht="21.75" customHeight="1">
      <c r="B194" s="94"/>
      <c r="C194" s="94"/>
      <c r="D194" s="95"/>
      <c r="G194" s="199"/>
      <c r="I194" s="179"/>
      <c r="J194" s="179"/>
      <c r="K194" s="179"/>
      <c r="L194" s="179"/>
      <c r="M194" s="179"/>
      <c r="P194" s="179"/>
      <c r="Q194" s="179"/>
      <c r="R194" s="179"/>
      <c r="S194" s="179"/>
      <c r="T194" s="179"/>
      <c r="U194" s="179"/>
      <c r="V194" s="179"/>
    </row>
    <row r="195" spans="2:22" s="90" customFormat="1" ht="21.75" customHeight="1">
      <c r="B195" s="94"/>
      <c r="C195" s="94"/>
      <c r="D195" s="95"/>
      <c r="G195" s="199"/>
      <c r="I195" s="179"/>
      <c r="J195" s="179"/>
      <c r="K195" s="179"/>
      <c r="L195" s="179"/>
      <c r="M195" s="179"/>
      <c r="P195" s="179"/>
      <c r="Q195" s="179"/>
      <c r="R195" s="179"/>
      <c r="S195" s="179"/>
      <c r="T195" s="179"/>
      <c r="U195" s="179"/>
      <c r="V195" s="179"/>
    </row>
    <row r="196" spans="2:22" s="90" customFormat="1" ht="21.75" customHeight="1">
      <c r="B196" s="94"/>
      <c r="C196" s="94"/>
      <c r="D196" s="95"/>
      <c r="G196" s="199"/>
      <c r="I196" s="179"/>
      <c r="J196" s="179"/>
      <c r="K196" s="179"/>
      <c r="L196" s="179"/>
      <c r="M196" s="179"/>
      <c r="P196" s="179"/>
      <c r="Q196" s="179"/>
      <c r="R196" s="179"/>
      <c r="S196" s="179"/>
      <c r="T196" s="179"/>
      <c r="U196" s="179"/>
      <c r="V196" s="179"/>
    </row>
    <row r="197" spans="2:22" s="90" customFormat="1" ht="21.75" customHeight="1">
      <c r="B197" s="94"/>
      <c r="C197" s="94"/>
      <c r="D197" s="95"/>
      <c r="G197" s="199"/>
      <c r="I197" s="179"/>
      <c r="J197" s="179"/>
      <c r="K197" s="179"/>
      <c r="L197" s="179"/>
      <c r="M197" s="179"/>
      <c r="P197" s="179"/>
      <c r="Q197" s="179"/>
      <c r="R197" s="179"/>
      <c r="S197" s="179"/>
      <c r="T197" s="179"/>
      <c r="U197" s="179"/>
      <c r="V197" s="179"/>
    </row>
    <row r="198" spans="2:22" s="90" customFormat="1" ht="21.75" customHeight="1">
      <c r="B198" s="94"/>
      <c r="C198" s="94"/>
      <c r="D198" s="95"/>
      <c r="G198" s="199"/>
      <c r="I198" s="179"/>
      <c r="J198" s="179"/>
      <c r="K198" s="179"/>
      <c r="L198" s="179"/>
      <c r="M198" s="179"/>
      <c r="P198" s="179"/>
      <c r="Q198" s="179"/>
      <c r="R198" s="179"/>
      <c r="S198" s="179"/>
      <c r="T198" s="179"/>
      <c r="U198" s="179"/>
      <c r="V198" s="179"/>
    </row>
    <row r="199" spans="2:22" s="90" customFormat="1" ht="21.75" customHeight="1">
      <c r="B199" s="94"/>
      <c r="C199" s="94"/>
      <c r="D199" s="95"/>
      <c r="G199" s="199"/>
      <c r="I199" s="179"/>
      <c r="J199" s="179"/>
      <c r="K199" s="179"/>
      <c r="L199" s="179"/>
      <c r="M199" s="179"/>
      <c r="P199" s="179"/>
      <c r="Q199" s="179"/>
      <c r="R199" s="179"/>
      <c r="S199" s="179"/>
      <c r="T199" s="179"/>
      <c r="U199" s="179"/>
      <c r="V199" s="179"/>
    </row>
    <row r="200" spans="2:22" s="90" customFormat="1" ht="21.75" customHeight="1">
      <c r="B200" s="94"/>
      <c r="C200" s="94"/>
      <c r="D200" s="95"/>
      <c r="G200" s="199"/>
      <c r="I200" s="179"/>
      <c r="J200" s="179"/>
      <c r="K200" s="179"/>
      <c r="L200" s="179"/>
      <c r="M200" s="179"/>
      <c r="P200" s="179"/>
      <c r="Q200" s="179"/>
      <c r="R200" s="179"/>
      <c r="S200" s="179"/>
      <c r="T200" s="179"/>
      <c r="U200" s="179"/>
      <c r="V200" s="179"/>
    </row>
    <row r="201" spans="2:22" s="90" customFormat="1" ht="21.75" customHeight="1">
      <c r="B201" s="94"/>
      <c r="C201" s="94"/>
      <c r="D201" s="95"/>
      <c r="G201" s="199"/>
      <c r="I201" s="179"/>
      <c r="J201" s="179"/>
      <c r="K201" s="179"/>
      <c r="L201" s="179"/>
      <c r="M201" s="179"/>
      <c r="P201" s="179"/>
      <c r="Q201" s="179"/>
      <c r="R201" s="179"/>
      <c r="S201" s="179"/>
      <c r="T201" s="179"/>
      <c r="U201" s="179"/>
      <c r="V201" s="179"/>
    </row>
    <row r="202" spans="2:22" s="90" customFormat="1" ht="21.75" customHeight="1">
      <c r="B202" s="94"/>
      <c r="C202" s="94"/>
      <c r="D202" s="95"/>
      <c r="G202" s="199"/>
      <c r="I202" s="179"/>
      <c r="J202" s="179"/>
      <c r="K202" s="179"/>
      <c r="L202" s="179"/>
      <c r="M202" s="179"/>
      <c r="P202" s="179"/>
      <c r="Q202" s="179"/>
      <c r="R202" s="179"/>
      <c r="S202" s="179"/>
      <c r="T202" s="179"/>
      <c r="U202" s="179"/>
      <c r="V202" s="179"/>
    </row>
    <row r="203" spans="2:22" s="90" customFormat="1" ht="21.75" customHeight="1">
      <c r="B203" s="94"/>
      <c r="C203" s="94"/>
      <c r="D203" s="95"/>
      <c r="G203" s="199"/>
      <c r="I203" s="179"/>
      <c r="J203" s="179"/>
      <c r="K203" s="179"/>
      <c r="L203" s="179"/>
      <c r="M203" s="179"/>
      <c r="P203" s="179"/>
      <c r="Q203" s="179"/>
      <c r="R203" s="179"/>
      <c r="S203" s="179"/>
      <c r="T203" s="179"/>
      <c r="U203" s="179"/>
      <c r="V203" s="179"/>
    </row>
    <row r="204" spans="2:22" s="90" customFormat="1" ht="21.75" customHeight="1">
      <c r="B204" s="94"/>
      <c r="C204" s="94"/>
      <c r="D204" s="95"/>
      <c r="G204" s="199"/>
      <c r="I204" s="179"/>
      <c r="J204" s="179"/>
      <c r="K204" s="179"/>
      <c r="L204" s="179"/>
      <c r="M204" s="179"/>
      <c r="P204" s="179"/>
      <c r="Q204" s="179"/>
      <c r="R204" s="179"/>
      <c r="S204" s="179"/>
      <c r="T204" s="179"/>
      <c r="U204" s="179"/>
      <c r="V204" s="179"/>
    </row>
    <row r="205" spans="2:22" s="90" customFormat="1" ht="21.75" customHeight="1">
      <c r="B205" s="94"/>
      <c r="C205" s="94"/>
      <c r="D205" s="95"/>
      <c r="G205" s="199"/>
      <c r="I205" s="179"/>
      <c r="J205" s="179"/>
      <c r="K205" s="179"/>
      <c r="L205" s="179"/>
      <c r="M205" s="179"/>
      <c r="P205" s="179"/>
      <c r="Q205" s="179"/>
      <c r="R205" s="179"/>
      <c r="S205" s="179"/>
      <c r="T205" s="179"/>
      <c r="U205" s="179"/>
      <c r="V205" s="179"/>
    </row>
    <row r="206" spans="2:22" s="90" customFormat="1" ht="21.75" customHeight="1">
      <c r="B206" s="94"/>
      <c r="C206" s="94"/>
      <c r="D206" s="95"/>
      <c r="G206" s="199"/>
      <c r="I206" s="179"/>
      <c r="J206" s="179"/>
      <c r="K206" s="179"/>
      <c r="L206" s="179"/>
      <c r="M206" s="179"/>
      <c r="P206" s="179"/>
      <c r="Q206" s="179"/>
      <c r="R206" s="179"/>
      <c r="S206" s="179"/>
      <c r="T206" s="179"/>
      <c r="U206" s="179"/>
      <c r="V206" s="179"/>
    </row>
    <row r="207" spans="2:22" s="90" customFormat="1" ht="21.75" customHeight="1">
      <c r="B207" s="94"/>
      <c r="C207" s="94"/>
      <c r="D207" s="95"/>
      <c r="G207" s="199"/>
      <c r="I207" s="179"/>
      <c r="J207" s="179"/>
      <c r="K207" s="179"/>
      <c r="L207" s="179"/>
      <c r="M207" s="179"/>
      <c r="P207" s="179"/>
      <c r="Q207" s="179"/>
      <c r="R207" s="179"/>
      <c r="S207" s="179"/>
      <c r="T207" s="179"/>
      <c r="U207" s="179"/>
      <c r="V207" s="179"/>
    </row>
    <row r="208" spans="2:22" s="90" customFormat="1" ht="21.75" customHeight="1">
      <c r="B208" s="94"/>
      <c r="C208" s="94"/>
      <c r="D208" s="95"/>
      <c r="G208" s="199"/>
      <c r="I208" s="179"/>
      <c r="J208" s="179"/>
      <c r="K208" s="179"/>
      <c r="L208" s="179"/>
      <c r="M208" s="179"/>
      <c r="P208" s="179"/>
      <c r="Q208" s="179"/>
      <c r="R208" s="179"/>
      <c r="S208" s="179"/>
      <c r="T208" s="179"/>
      <c r="U208" s="179"/>
      <c r="V208" s="179"/>
    </row>
    <row r="209" spans="2:22" s="90" customFormat="1" ht="21.75" customHeight="1">
      <c r="B209" s="94"/>
      <c r="C209" s="94"/>
      <c r="D209" s="95"/>
      <c r="G209" s="199"/>
      <c r="I209" s="179"/>
      <c r="J209" s="179"/>
      <c r="K209" s="179"/>
      <c r="L209" s="179"/>
      <c r="M209" s="179"/>
      <c r="P209" s="179"/>
      <c r="Q209" s="179"/>
      <c r="R209" s="179"/>
      <c r="S209" s="179"/>
      <c r="T209" s="179"/>
      <c r="U209" s="179"/>
      <c r="V209" s="179"/>
    </row>
    <row r="210" spans="2:22" s="90" customFormat="1" ht="21.75" customHeight="1">
      <c r="B210" s="94"/>
      <c r="C210" s="94"/>
      <c r="D210" s="95"/>
      <c r="G210" s="199"/>
      <c r="I210" s="179"/>
      <c r="J210" s="179"/>
      <c r="K210" s="179"/>
      <c r="L210" s="179"/>
      <c r="M210" s="179"/>
      <c r="P210" s="179"/>
      <c r="Q210" s="179"/>
      <c r="R210" s="179"/>
      <c r="S210" s="179"/>
      <c r="T210" s="179"/>
      <c r="U210" s="179"/>
      <c r="V210" s="179"/>
    </row>
    <row r="211" spans="2:22" s="90" customFormat="1" ht="21.75" customHeight="1">
      <c r="B211" s="94"/>
      <c r="C211" s="94"/>
      <c r="D211" s="95"/>
      <c r="G211" s="199"/>
      <c r="I211" s="179"/>
      <c r="J211" s="179"/>
      <c r="K211" s="179"/>
      <c r="L211" s="179"/>
      <c r="M211" s="179"/>
      <c r="P211" s="179"/>
      <c r="Q211" s="179"/>
      <c r="R211" s="179"/>
      <c r="S211" s="179"/>
      <c r="T211" s="179"/>
      <c r="U211" s="179"/>
      <c r="V211" s="179"/>
    </row>
    <row r="212" spans="2:22" s="90" customFormat="1" ht="21.75" customHeight="1">
      <c r="B212" s="94"/>
      <c r="C212" s="94"/>
      <c r="D212" s="95"/>
      <c r="G212" s="199"/>
      <c r="I212" s="179"/>
      <c r="J212" s="179"/>
      <c r="K212" s="179"/>
      <c r="L212" s="179"/>
      <c r="M212" s="179"/>
      <c r="P212" s="179"/>
      <c r="Q212" s="179"/>
      <c r="R212" s="179"/>
      <c r="S212" s="179"/>
      <c r="T212" s="179"/>
      <c r="U212" s="179"/>
      <c r="V212" s="179"/>
    </row>
    <row r="213" spans="2:22" s="90" customFormat="1" ht="21.75" customHeight="1">
      <c r="B213" s="94"/>
      <c r="C213" s="94"/>
      <c r="D213" s="95"/>
      <c r="G213" s="199"/>
      <c r="I213" s="179"/>
      <c r="J213" s="179"/>
      <c r="K213" s="179"/>
      <c r="L213" s="179"/>
      <c r="M213" s="179"/>
      <c r="P213" s="179"/>
      <c r="Q213" s="179"/>
      <c r="R213" s="179"/>
      <c r="S213" s="179"/>
      <c r="T213" s="179"/>
      <c r="U213" s="179"/>
      <c r="V213" s="179"/>
    </row>
    <row r="214" spans="2:22" s="90" customFormat="1" ht="21.75" customHeight="1">
      <c r="B214" s="94"/>
      <c r="C214" s="94"/>
      <c r="D214" s="95"/>
      <c r="G214" s="199"/>
      <c r="I214" s="179"/>
      <c r="J214" s="179"/>
      <c r="K214" s="179"/>
      <c r="L214" s="179"/>
      <c r="M214" s="179"/>
      <c r="P214" s="179"/>
      <c r="Q214" s="179"/>
      <c r="R214" s="179"/>
      <c r="S214" s="179"/>
      <c r="T214" s="179"/>
      <c r="U214" s="179"/>
      <c r="V214" s="179"/>
    </row>
    <row r="215" spans="2:22" s="90" customFormat="1" ht="21.75" customHeight="1">
      <c r="B215" s="94"/>
      <c r="C215" s="94"/>
      <c r="D215" s="95"/>
      <c r="G215" s="199"/>
      <c r="I215" s="179"/>
      <c r="J215" s="179"/>
      <c r="K215" s="179"/>
      <c r="L215" s="179"/>
      <c r="M215" s="179"/>
      <c r="P215" s="179"/>
      <c r="Q215" s="179"/>
      <c r="R215" s="179"/>
      <c r="S215" s="179"/>
      <c r="T215" s="179"/>
      <c r="U215" s="179"/>
      <c r="V215" s="179"/>
    </row>
    <row r="216" spans="2:22" s="90" customFormat="1" ht="21.75" customHeight="1">
      <c r="B216" s="94"/>
      <c r="C216" s="94"/>
      <c r="D216" s="95"/>
      <c r="G216" s="199"/>
      <c r="I216" s="179"/>
      <c r="J216" s="179"/>
      <c r="K216" s="179"/>
      <c r="L216" s="179"/>
      <c r="M216" s="179"/>
      <c r="P216" s="179"/>
      <c r="Q216" s="179"/>
      <c r="R216" s="179"/>
      <c r="S216" s="179"/>
      <c r="T216" s="179"/>
      <c r="U216" s="179"/>
      <c r="V216" s="179"/>
    </row>
    <row r="217" spans="2:22" s="90" customFormat="1" ht="21.75" customHeight="1">
      <c r="B217" s="94"/>
      <c r="C217" s="94"/>
      <c r="D217" s="95"/>
      <c r="G217" s="199"/>
      <c r="I217" s="179"/>
      <c r="J217" s="179"/>
      <c r="K217" s="179"/>
      <c r="L217" s="179"/>
      <c r="M217" s="179"/>
      <c r="P217" s="179"/>
      <c r="Q217" s="179"/>
      <c r="R217" s="179"/>
      <c r="S217" s="179"/>
      <c r="T217" s="179"/>
      <c r="U217" s="179"/>
      <c r="V217" s="179"/>
    </row>
    <row r="218" spans="2:22" s="90" customFormat="1" ht="21.75" customHeight="1">
      <c r="B218" s="94"/>
      <c r="C218" s="94"/>
      <c r="D218" s="95"/>
      <c r="G218" s="199"/>
      <c r="I218" s="179"/>
      <c r="J218" s="179"/>
      <c r="K218" s="179"/>
      <c r="L218" s="179"/>
      <c r="M218" s="179"/>
      <c r="P218" s="179"/>
      <c r="Q218" s="179"/>
      <c r="R218" s="179"/>
      <c r="S218" s="179"/>
      <c r="T218" s="179"/>
      <c r="U218" s="179"/>
      <c r="V218" s="179"/>
    </row>
    <row r="219" spans="2:22" s="90" customFormat="1" ht="21.75" customHeight="1">
      <c r="B219" s="94"/>
      <c r="C219" s="94"/>
      <c r="D219" s="95"/>
      <c r="G219" s="199"/>
      <c r="I219" s="179"/>
      <c r="J219" s="179"/>
      <c r="K219" s="179"/>
      <c r="L219" s="179"/>
      <c r="M219" s="179"/>
      <c r="P219" s="179"/>
      <c r="Q219" s="179"/>
      <c r="R219" s="179"/>
      <c r="S219" s="179"/>
      <c r="T219" s="179"/>
      <c r="U219" s="179"/>
      <c r="V219" s="179"/>
    </row>
    <row r="220" spans="2:22" s="90" customFormat="1" ht="21.75" customHeight="1">
      <c r="B220" s="94"/>
      <c r="C220" s="94"/>
      <c r="D220" s="95"/>
      <c r="G220" s="199"/>
      <c r="I220" s="179"/>
      <c r="J220" s="179"/>
      <c r="K220" s="179"/>
      <c r="L220" s="179"/>
      <c r="M220" s="179"/>
      <c r="P220" s="179"/>
      <c r="Q220" s="179"/>
      <c r="R220" s="179"/>
      <c r="S220" s="179"/>
      <c r="T220" s="179"/>
      <c r="U220" s="179"/>
      <c r="V220" s="179"/>
    </row>
    <row r="221" spans="2:22" s="90" customFormat="1" ht="21.75" customHeight="1">
      <c r="B221" s="94"/>
      <c r="C221" s="94"/>
      <c r="D221" s="95"/>
      <c r="G221" s="199"/>
      <c r="I221" s="179"/>
      <c r="J221" s="179"/>
      <c r="K221" s="179"/>
      <c r="L221" s="179"/>
      <c r="M221" s="179"/>
      <c r="P221" s="179"/>
      <c r="Q221" s="179"/>
      <c r="R221" s="179"/>
      <c r="S221" s="179"/>
      <c r="T221" s="179"/>
      <c r="U221" s="179"/>
      <c r="V221" s="179"/>
    </row>
    <row r="222" spans="2:22" s="90" customFormat="1" ht="21.75" customHeight="1">
      <c r="B222" s="94"/>
      <c r="C222" s="94"/>
      <c r="D222" s="95"/>
      <c r="G222" s="199"/>
      <c r="I222" s="179"/>
      <c r="J222" s="179"/>
      <c r="K222" s="179"/>
      <c r="L222" s="179"/>
      <c r="M222" s="179"/>
      <c r="P222" s="179"/>
      <c r="Q222" s="179"/>
      <c r="R222" s="179"/>
      <c r="S222" s="179"/>
      <c r="T222" s="179"/>
      <c r="U222" s="179"/>
      <c r="V222" s="179"/>
    </row>
    <row r="223" spans="2:22" s="90" customFormat="1" ht="21.75" customHeight="1">
      <c r="B223" s="94"/>
      <c r="C223" s="94"/>
      <c r="D223" s="95"/>
      <c r="G223" s="199"/>
      <c r="I223" s="179"/>
      <c r="J223" s="179"/>
      <c r="K223" s="179"/>
      <c r="L223" s="179"/>
      <c r="M223" s="179"/>
      <c r="P223" s="179"/>
      <c r="Q223" s="179"/>
      <c r="R223" s="179"/>
      <c r="S223" s="179"/>
      <c r="T223" s="179"/>
      <c r="U223" s="179"/>
      <c r="V223" s="179"/>
    </row>
    <row r="224" spans="2:22" s="90" customFormat="1" ht="21.75" customHeight="1">
      <c r="B224" s="94"/>
      <c r="C224" s="94"/>
      <c r="D224" s="95"/>
      <c r="G224" s="199"/>
      <c r="I224" s="179"/>
      <c r="J224" s="179"/>
      <c r="K224" s="179"/>
      <c r="L224" s="179"/>
      <c r="M224" s="179"/>
      <c r="P224" s="179"/>
      <c r="Q224" s="179"/>
      <c r="R224" s="179"/>
      <c r="S224" s="179"/>
      <c r="T224" s="179"/>
      <c r="U224" s="179"/>
      <c r="V224" s="179"/>
    </row>
    <row r="225" spans="2:22" s="90" customFormat="1" ht="21.75" customHeight="1">
      <c r="B225" s="94"/>
      <c r="C225" s="94"/>
      <c r="D225" s="95"/>
      <c r="G225" s="199"/>
      <c r="I225" s="179"/>
      <c r="J225" s="179"/>
      <c r="K225" s="179"/>
      <c r="L225" s="179"/>
      <c r="M225" s="179"/>
      <c r="P225" s="179"/>
      <c r="Q225" s="179"/>
      <c r="R225" s="179"/>
      <c r="S225" s="179"/>
      <c r="T225" s="179"/>
      <c r="U225" s="179"/>
      <c r="V225" s="179"/>
    </row>
    <row r="226" spans="2:22" s="90" customFormat="1" ht="21.75" customHeight="1">
      <c r="B226" s="94"/>
      <c r="C226" s="94"/>
      <c r="D226" s="95"/>
      <c r="G226" s="199"/>
      <c r="I226" s="179"/>
      <c r="J226" s="179"/>
      <c r="K226" s="179"/>
      <c r="L226" s="179"/>
      <c r="M226" s="179"/>
      <c r="P226" s="179"/>
      <c r="Q226" s="179"/>
      <c r="R226" s="179"/>
      <c r="S226" s="179"/>
      <c r="T226" s="179"/>
      <c r="U226" s="179"/>
      <c r="V226" s="179"/>
    </row>
    <row r="227" spans="2:22" s="90" customFormat="1" ht="21.75" customHeight="1">
      <c r="B227" s="94"/>
      <c r="C227" s="94"/>
      <c r="D227" s="95"/>
      <c r="G227" s="199"/>
      <c r="I227" s="179"/>
      <c r="J227" s="179"/>
      <c r="K227" s="179"/>
      <c r="L227" s="179"/>
      <c r="M227" s="179"/>
      <c r="P227" s="179"/>
      <c r="Q227" s="179"/>
      <c r="R227" s="179"/>
      <c r="S227" s="179"/>
      <c r="T227" s="179"/>
      <c r="U227" s="179"/>
      <c r="V227" s="179"/>
    </row>
    <row r="228" spans="2:22" s="90" customFormat="1" ht="21.75" customHeight="1">
      <c r="B228" s="94"/>
      <c r="C228" s="94"/>
      <c r="D228" s="95"/>
      <c r="G228" s="199"/>
      <c r="I228" s="179"/>
      <c r="J228" s="179"/>
      <c r="K228" s="179"/>
      <c r="L228" s="179"/>
      <c r="M228" s="179"/>
      <c r="P228" s="179"/>
      <c r="Q228" s="179"/>
      <c r="R228" s="179"/>
      <c r="S228" s="179"/>
      <c r="T228" s="179"/>
      <c r="U228" s="179"/>
      <c r="V228" s="179"/>
    </row>
    <row r="229" spans="2:22" s="90" customFormat="1" ht="21.75" customHeight="1">
      <c r="B229" s="94"/>
      <c r="C229" s="94"/>
      <c r="D229" s="95"/>
      <c r="G229" s="199"/>
      <c r="I229" s="179"/>
      <c r="J229" s="179"/>
      <c r="K229" s="179"/>
      <c r="L229" s="179"/>
      <c r="M229" s="179"/>
      <c r="P229" s="179"/>
      <c r="Q229" s="179"/>
      <c r="R229" s="179"/>
      <c r="S229" s="179"/>
      <c r="T229" s="179"/>
      <c r="U229" s="179"/>
      <c r="V229" s="179"/>
    </row>
    <row r="230" spans="2:22" s="90" customFormat="1" ht="21.75" customHeight="1">
      <c r="B230" s="94"/>
      <c r="C230" s="94"/>
      <c r="D230" s="95"/>
      <c r="G230" s="199"/>
      <c r="I230" s="179"/>
      <c r="J230" s="179"/>
      <c r="K230" s="179"/>
      <c r="L230" s="179"/>
      <c r="M230" s="179"/>
      <c r="P230" s="179"/>
      <c r="Q230" s="179"/>
      <c r="R230" s="179"/>
      <c r="S230" s="179"/>
      <c r="T230" s="179"/>
      <c r="U230" s="179"/>
      <c r="V230" s="179"/>
    </row>
    <row r="231" spans="2:22" s="90" customFormat="1" ht="21.75" customHeight="1">
      <c r="B231" s="94"/>
      <c r="C231" s="94"/>
      <c r="D231" s="95"/>
      <c r="G231" s="199"/>
      <c r="I231" s="179"/>
      <c r="J231" s="179"/>
      <c r="K231" s="179"/>
      <c r="L231" s="179"/>
      <c r="M231" s="179"/>
      <c r="P231" s="179"/>
      <c r="Q231" s="179"/>
      <c r="R231" s="179"/>
      <c r="S231" s="179"/>
      <c r="T231" s="179"/>
      <c r="U231" s="179"/>
      <c r="V231" s="179"/>
    </row>
    <row r="232" spans="2:22" s="90" customFormat="1" ht="21.75" customHeight="1">
      <c r="B232" s="94"/>
      <c r="C232" s="94"/>
      <c r="D232" s="95"/>
      <c r="G232" s="199"/>
      <c r="I232" s="179"/>
      <c r="J232" s="179"/>
      <c r="K232" s="179"/>
      <c r="L232" s="179"/>
      <c r="M232" s="179"/>
      <c r="P232" s="179"/>
      <c r="Q232" s="179"/>
      <c r="R232" s="179"/>
      <c r="S232" s="179"/>
      <c r="T232" s="179"/>
      <c r="U232" s="179"/>
      <c r="V232" s="179"/>
    </row>
    <row r="233" spans="2:22" s="90" customFormat="1" ht="21.75" customHeight="1">
      <c r="B233" s="94"/>
      <c r="C233" s="94"/>
      <c r="D233" s="95"/>
      <c r="G233" s="199"/>
      <c r="I233" s="179"/>
      <c r="J233" s="179"/>
      <c r="K233" s="179"/>
      <c r="L233" s="179"/>
      <c r="M233" s="179"/>
      <c r="P233" s="179"/>
      <c r="Q233" s="179"/>
      <c r="R233" s="179"/>
      <c r="S233" s="179"/>
      <c r="T233" s="179"/>
      <c r="U233" s="179"/>
      <c r="V233" s="179"/>
    </row>
    <row r="234" spans="2:22" s="90" customFormat="1" ht="21.75" customHeight="1">
      <c r="B234" s="94"/>
      <c r="C234" s="94"/>
      <c r="D234" s="95"/>
      <c r="G234" s="199"/>
      <c r="I234" s="179"/>
      <c r="J234" s="179"/>
      <c r="K234" s="179"/>
      <c r="L234" s="179"/>
      <c r="M234" s="179"/>
      <c r="P234" s="179"/>
      <c r="Q234" s="179"/>
      <c r="R234" s="179"/>
      <c r="S234" s="179"/>
      <c r="T234" s="179"/>
      <c r="U234" s="179"/>
      <c r="V234" s="179"/>
    </row>
    <row r="235" spans="2:22" s="90" customFormat="1" ht="21.75" customHeight="1">
      <c r="B235" s="94"/>
      <c r="C235" s="94"/>
      <c r="D235" s="95"/>
      <c r="G235" s="199"/>
      <c r="I235" s="179"/>
      <c r="J235" s="179"/>
      <c r="K235" s="179"/>
      <c r="L235" s="179"/>
      <c r="M235" s="179"/>
      <c r="P235" s="179"/>
      <c r="Q235" s="179"/>
      <c r="R235" s="179"/>
      <c r="S235" s="179"/>
      <c r="T235" s="179"/>
      <c r="U235" s="179"/>
      <c r="V235" s="179"/>
    </row>
    <row r="236" spans="2:22" s="90" customFormat="1" ht="21.75" customHeight="1">
      <c r="B236" s="94"/>
      <c r="C236" s="94"/>
      <c r="D236" s="95"/>
      <c r="G236" s="199"/>
      <c r="I236" s="179"/>
      <c r="J236" s="179"/>
      <c r="K236" s="179"/>
      <c r="L236" s="179"/>
      <c r="M236" s="179"/>
      <c r="P236" s="179"/>
      <c r="Q236" s="179"/>
      <c r="R236" s="179"/>
      <c r="S236" s="179"/>
      <c r="T236" s="179"/>
      <c r="U236" s="179"/>
      <c r="V236" s="179"/>
    </row>
    <row r="237" spans="2:22" s="90" customFormat="1" ht="21.75" customHeight="1">
      <c r="B237" s="94"/>
      <c r="C237" s="94"/>
      <c r="D237" s="95"/>
      <c r="G237" s="199"/>
      <c r="I237" s="179"/>
      <c r="J237" s="179"/>
      <c r="K237" s="179"/>
      <c r="L237" s="179"/>
      <c r="M237" s="179"/>
      <c r="P237" s="179"/>
      <c r="Q237" s="179"/>
      <c r="R237" s="179"/>
      <c r="S237" s="179"/>
      <c r="T237" s="179"/>
      <c r="U237" s="179"/>
      <c r="V237" s="179"/>
    </row>
    <row r="238" spans="2:22" s="90" customFormat="1" ht="21.75" customHeight="1">
      <c r="B238" s="94"/>
      <c r="C238" s="94"/>
      <c r="D238" s="95"/>
      <c r="G238" s="199"/>
      <c r="I238" s="179"/>
      <c r="J238" s="179"/>
      <c r="K238" s="179"/>
      <c r="L238" s="179"/>
      <c r="M238" s="179"/>
      <c r="P238" s="179"/>
      <c r="Q238" s="179"/>
      <c r="R238" s="179"/>
      <c r="S238" s="179"/>
      <c r="T238" s="179"/>
      <c r="U238" s="179"/>
      <c r="V238" s="179"/>
    </row>
    <row r="239" spans="2:22" s="90" customFormat="1" ht="21.75" customHeight="1">
      <c r="B239" s="94"/>
      <c r="C239" s="94"/>
      <c r="D239" s="95"/>
      <c r="G239" s="199"/>
      <c r="I239" s="179"/>
      <c r="J239" s="179"/>
      <c r="K239" s="179"/>
      <c r="L239" s="179"/>
      <c r="M239" s="179"/>
      <c r="P239" s="179"/>
      <c r="Q239" s="179"/>
      <c r="R239" s="179"/>
      <c r="S239" s="179"/>
      <c r="T239" s="179"/>
      <c r="U239" s="179"/>
      <c r="V239" s="179"/>
    </row>
    <row r="240" spans="2:22" s="90" customFormat="1" ht="21.75" customHeight="1">
      <c r="B240" s="94"/>
      <c r="C240" s="94"/>
      <c r="D240" s="95"/>
      <c r="G240" s="199"/>
      <c r="I240" s="179"/>
      <c r="J240" s="179"/>
      <c r="K240" s="179"/>
      <c r="L240" s="179"/>
      <c r="M240" s="179"/>
      <c r="P240" s="179"/>
      <c r="Q240" s="179"/>
      <c r="R240" s="179"/>
      <c r="S240" s="179"/>
      <c r="T240" s="179"/>
      <c r="U240" s="179"/>
      <c r="V240" s="179"/>
    </row>
    <row r="241" spans="2:22" s="90" customFormat="1" ht="21.75" customHeight="1">
      <c r="B241" s="94"/>
      <c r="C241" s="94"/>
      <c r="D241" s="95"/>
      <c r="G241" s="199"/>
      <c r="I241" s="179"/>
      <c r="J241" s="179"/>
      <c r="K241" s="179"/>
      <c r="L241" s="179"/>
      <c r="M241" s="179"/>
      <c r="P241" s="179"/>
      <c r="Q241" s="179"/>
      <c r="R241" s="179"/>
      <c r="S241" s="179"/>
      <c r="T241" s="179"/>
      <c r="U241" s="179"/>
      <c r="V241" s="179"/>
    </row>
    <row r="242" spans="2:22" s="90" customFormat="1" ht="21.75" customHeight="1">
      <c r="B242" s="94"/>
      <c r="C242" s="94"/>
      <c r="D242" s="95"/>
      <c r="G242" s="199"/>
      <c r="I242" s="179"/>
      <c r="J242" s="179"/>
      <c r="K242" s="179"/>
      <c r="L242" s="179"/>
      <c r="M242" s="179"/>
      <c r="P242" s="179"/>
      <c r="Q242" s="179"/>
      <c r="R242" s="179"/>
      <c r="S242" s="179"/>
      <c r="T242" s="179"/>
      <c r="U242" s="179"/>
      <c r="V242" s="179"/>
    </row>
    <row r="243" spans="2:22" s="90" customFormat="1" ht="21.75" customHeight="1">
      <c r="B243" s="94"/>
      <c r="C243" s="94"/>
      <c r="D243" s="95"/>
      <c r="G243" s="199"/>
      <c r="I243" s="179"/>
      <c r="J243" s="179"/>
      <c r="K243" s="179"/>
      <c r="L243" s="179"/>
      <c r="M243" s="179"/>
      <c r="P243" s="179"/>
      <c r="Q243" s="179"/>
      <c r="R243" s="179"/>
      <c r="S243" s="179"/>
      <c r="T243" s="179"/>
      <c r="U243" s="179"/>
      <c r="V243" s="179"/>
    </row>
    <row r="244" spans="2:22" s="90" customFormat="1" ht="21.75" customHeight="1">
      <c r="B244" s="94"/>
      <c r="C244" s="94"/>
      <c r="D244" s="95"/>
      <c r="G244" s="199"/>
      <c r="I244" s="179"/>
      <c r="J244" s="179"/>
      <c r="K244" s="179"/>
      <c r="L244" s="179"/>
      <c r="M244" s="179"/>
      <c r="P244" s="179"/>
      <c r="Q244" s="179"/>
      <c r="R244" s="179"/>
      <c r="S244" s="179"/>
      <c r="T244" s="179"/>
      <c r="U244" s="179"/>
      <c r="V244" s="179"/>
    </row>
    <row r="245" spans="2:22" s="90" customFormat="1" ht="21.75" customHeight="1">
      <c r="B245" s="94"/>
      <c r="C245" s="94"/>
      <c r="D245" s="95"/>
      <c r="G245" s="199"/>
      <c r="I245" s="179"/>
      <c r="J245" s="179"/>
      <c r="K245" s="179"/>
      <c r="L245" s="179"/>
      <c r="M245" s="179"/>
      <c r="P245" s="179"/>
      <c r="Q245" s="179"/>
      <c r="R245" s="179"/>
      <c r="S245" s="179"/>
      <c r="T245" s="179"/>
      <c r="U245" s="179"/>
      <c r="V245" s="179"/>
    </row>
    <row r="246" spans="2:22" s="90" customFormat="1" ht="21.75" customHeight="1">
      <c r="B246" s="94"/>
      <c r="C246" s="94"/>
      <c r="D246" s="95"/>
      <c r="G246" s="199"/>
      <c r="I246" s="179"/>
      <c r="J246" s="179"/>
      <c r="K246" s="179"/>
      <c r="L246" s="179"/>
      <c r="M246" s="179"/>
      <c r="P246" s="179"/>
      <c r="Q246" s="179"/>
      <c r="R246" s="179"/>
      <c r="S246" s="179"/>
      <c r="T246" s="179"/>
      <c r="U246" s="179"/>
      <c r="V246" s="179"/>
    </row>
    <row r="247" spans="2:22" s="90" customFormat="1" ht="21.75" customHeight="1">
      <c r="B247" s="94"/>
      <c r="C247" s="94"/>
      <c r="D247" s="95"/>
      <c r="G247" s="199"/>
      <c r="I247" s="179"/>
      <c r="J247" s="179"/>
      <c r="K247" s="179"/>
      <c r="L247" s="179"/>
      <c r="M247" s="179"/>
      <c r="P247" s="179"/>
      <c r="Q247" s="179"/>
      <c r="R247" s="179"/>
      <c r="S247" s="179"/>
      <c r="T247" s="179"/>
      <c r="U247" s="179"/>
      <c r="V247" s="179"/>
    </row>
    <row r="248" spans="2:22" s="90" customFormat="1" ht="21.75" customHeight="1">
      <c r="B248" s="94"/>
      <c r="C248" s="94"/>
      <c r="D248" s="95"/>
      <c r="G248" s="199"/>
      <c r="I248" s="179"/>
      <c r="J248" s="179"/>
      <c r="K248" s="179"/>
      <c r="L248" s="179"/>
      <c r="M248" s="179"/>
      <c r="P248" s="179"/>
      <c r="Q248" s="179"/>
      <c r="R248" s="179"/>
      <c r="S248" s="179"/>
      <c r="T248" s="179"/>
      <c r="U248" s="179"/>
      <c r="V248" s="179"/>
    </row>
    <row r="249" spans="2:22" s="90" customFormat="1" ht="21.75" customHeight="1">
      <c r="B249" s="94"/>
      <c r="C249" s="94"/>
      <c r="D249" s="95"/>
      <c r="G249" s="199"/>
      <c r="I249" s="179"/>
      <c r="J249" s="179"/>
      <c r="K249" s="179"/>
      <c r="L249" s="179"/>
      <c r="M249" s="179"/>
      <c r="P249" s="179"/>
      <c r="Q249" s="179"/>
      <c r="R249" s="179"/>
      <c r="S249" s="179"/>
      <c r="T249" s="179"/>
      <c r="U249" s="179"/>
      <c r="V249" s="179"/>
    </row>
    <row r="250" spans="2:22" s="90" customFormat="1" ht="21.75" customHeight="1">
      <c r="B250" s="94"/>
      <c r="C250" s="94"/>
      <c r="D250" s="95"/>
      <c r="G250" s="199"/>
      <c r="I250" s="179"/>
      <c r="J250" s="179"/>
      <c r="K250" s="179"/>
      <c r="L250" s="179"/>
      <c r="M250" s="179"/>
      <c r="P250" s="179"/>
      <c r="Q250" s="179"/>
      <c r="R250" s="179"/>
      <c r="S250" s="179"/>
      <c r="T250" s="179"/>
      <c r="U250" s="179"/>
      <c r="V250" s="179"/>
    </row>
    <row r="251" spans="2:22" s="90" customFormat="1" ht="21.75" customHeight="1">
      <c r="B251" s="94"/>
      <c r="C251" s="94"/>
      <c r="D251" s="95"/>
      <c r="G251" s="199"/>
      <c r="I251" s="179"/>
      <c r="J251" s="179"/>
      <c r="K251" s="179"/>
      <c r="L251" s="179"/>
      <c r="M251" s="179"/>
      <c r="P251" s="179"/>
      <c r="Q251" s="179"/>
      <c r="R251" s="179"/>
      <c r="S251" s="179"/>
      <c r="T251" s="179"/>
      <c r="U251" s="179"/>
      <c r="V251" s="179"/>
    </row>
    <row r="252" spans="2:22" s="90" customFormat="1" ht="21.75" customHeight="1">
      <c r="B252" s="94"/>
      <c r="C252" s="94"/>
      <c r="D252" s="95"/>
      <c r="G252" s="199"/>
      <c r="I252" s="179"/>
      <c r="J252" s="179"/>
      <c r="K252" s="179"/>
      <c r="L252" s="179"/>
      <c r="M252" s="179"/>
      <c r="P252" s="179"/>
      <c r="Q252" s="179"/>
      <c r="R252" s="179"/>
      <c r="S252" s="179"/>
      <c r="T252" s="179"/>
      <c r="U252" s="179"/>
      <c r="V252" s="179"/>
    </row>
  </sheetData>
  <mergeCells count="8">
    <mergeCell ref="A1:G1"/>
    <mergeCell ref="A2:G2"/>
    <mergeCell ref="F3:G3"/>
    <mergeCell ref="A4:G4"/>
    <mergeCell ref="A5:A6"/>
    <mergeCell ref="B5:C5"/>
    <mergeCell ref="D5:E5"/>
    <mergeCell ref="F5:G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scaleWithDoc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  <pageSetUpPr fitToPage="1"/>
  </sheetPr>
  <dimension ref="A1:FL138"/>
  <sheetViews>
    <sheetView view="pageBreakPreview" zoomScale="85" zoomScaleNormal="85" zoomScaleSheetLayoutView="85" workbookViewId="0">
      <selection activeCell="H10" sqref="H10"/>
    </sheetView>
  </sheetViews>
  <sheetFormatPr defaultColWidth="9" defaultRowHeight="21.75" customHeight="1"/>
  <cols>
    <col min="1" max="1" width="34" style="122" bestFit="1" customWidth="1"/>
    <col min="2" max="2" width="12.875" style="123" bestFit="1" customWidth="1"/>
    <col min="3" max="3" width="10" style="124" bestFit="1" customWidth="1"/>
    <col min="4" max="4" width="14.375" style="123" bestFit="1" customWidth="1"/>
    <col min="5" max="5" width="10" style="124" bestFit="1" customWidth="1"/>
    <col min="6" max="6" width="15.5" style="192" bestFit="1" customWidth="1"/>
    <col min="7" max="7" width="12.375" style="196" bestFit="1" customWidth="1"/>
    <col min="8" max="8" width="33.5" style="125" bestFit="1" customWidth="1"/>
    <col min="9" max="9" width="12.875" style="123" bestFit="1" customWidth="1"/>
    <col min="10" max="10" width="10" style="123" bestFit="1" customWidth="1"/>
    <col min="11" max="11" width="14.375" style="126" bestFit="1" customWidth="1"/>
    <col min="12" max="12" width="10" style="125" bestFit="1" customWidth="1"/>
    <col min="13" max="13" width="15.5" style="188" bestFit="1" customWidth="1"/>
    <col min="14" max="14" width="12.375" style="196" bestFit="1" customWidth="1"/>
    <col min="15" max="15" width="11.375" style="122" bestFit="1" customWidth="1"/>
    <col min="16" max="18" width="16.625" style="122" bestFit="1" customWidth="1"/>
    <col min="19" max="19" width="14.625" style="125" bestFit="1" customWidth="1"/>
    <col min="20" max="20" width="9" style="125"/>
    <col min="21" max="21" width="14.125" style="125" bestFit="1" customWidth="1"/>
    <col min="22" max="16384" width="9" style="125"/>
  </cols>
  <sheetData>
    <row r="1" spans="1:168" s="104" customFormat="1" ht="39" customHeight="1">
      <c r="A1" s="3573" t="s">
        <v>1565</v>
      </c>
      <c r="B1" s="3573"/>
      <c r="C1" s="3573"/>
      <c r="D1" s="3573"/>
      <c r="E1" s="3573"/>
      <c r="F1" s="3573"/>
      <c r="G1" s="3573"/>
      <c r="H1" s="3573"/>
      <c r="I1" s="3573"/>
      <c r="J1" s="3573"/>
      <c r="K1" s="3573"/>
      <c r="L1" s="3573"/>
      <c r="M1" s="3573"/>
      <c r="N1" s="3573"/>
      <c r="O1" s="102"/>
      <c r="P1" s="102"/>
      <c r="Q1" s="102"/>
      <c r="R1" s="102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/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3"/>
      <c r="FG1" s="103"/>
      <c r="FH1" s="103"/>
      <c r="FI1" s="103"/>
      <c r="FJ1" s="103"/>
      <c r="FK1" s="103"/>
      <c r="FL1" s="103"/>
    </row>
    <row r="2" spans="1:168" s="104" customFormat="1" ht="27" customHeight="1" thickBot="1">
      <c r="A2" s="3612"/>
      <c r="B2" s="3612"/>
      <c r="C2" s="3612"/>
      <c r="D2" s="105"/>
      <c r="E2" s="106"/>
      <c r="F2" s="189"/>
      <c r="G2" s="193"/>
      <c r="H2" s="103"/>
      <c r="I2" s="107"/>
      <c r="J2" s="103"/>
      <c r="K2" s="107"/>
      <c r="L2" s="103"/>
      <c r="M2" s="3613" t="s">
        <v>623</v>
      </c>
      <c r="N2" s="3613"/>
      <c r="O2" s="108"/>
      <c r="P2" s="102"/>
      <c r="Q2" s="102"/>
      <c r="R2" s="102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3"/>
      <c r="DZ2" s="103"/>
      <c r="EA2" s="103"/>
      <c r="EB2" s="103"/>
      <c r="EC2" s="103"/>
      <c r="ED2" s="103"/>
      <c r="EE2" s="103"/>
      <c r="EF2" s="103"/>
      <c r="EG2" s="103"/>
      <c r="EH2" s="103"/>
      <c r="EI2" s="103"/>
      <c r="EJ2" s="103"/>
      <c r="EK2" s="103"/>
      <c r="EL2" s="103"/>
      <c r="EM2" s="103"/>
      <c r="EN2" s="103"/>
      <c r="EO2" s="103"/>
      <c r="EP2" s="103"/>
      <c r="EQ2" s="103"/>
      <c r="ER2" s="103"/>
      <c r="ES2" s="103"/>
      <c r="ET2" s="103"/>
      <c r="EU2" s="103"/>
      <c r="EV2" s="103"/>
      <c r="EW2" s="103"/>
      <c r="EX2" s="103"/>
      <c r="EY2" s="103"/>
      <c r="EZ2" s="103"/>
      <c r="FA2" s="103"/>
      <c r="FB2" s="103"/>
      <c r="FC2" s="103"/>
      <c r="FD2" s="103"/>
      <c r="FE2" s="103"/>
      <c r="FF2" s="103"/>
      <c r="FG2" s="103"/>
      <c r="FH2" s="103"/>
      <c r="FI2" s="103"/>
      <c r="FJ2" s="103"/>
      <c r="FK2" s="103"/>
      <c r="FL2" s="103"/>
    </row>
    <row r="3" spans="1:168" s="104" customFormat="1" ht="20.100000000000001" customHeight="1">
      <c r="A3" s="3614" t="s">
        <v>624</v>
      </c>
      <c r="B3" s="3615"/>
      <c r="C3" s="3615"/>
      <c r="D3" s="3615"/>
      <c r="E3" s="3615"/>
      <c r="F3" s="3615"/>
      <c r="G3" s="3616"/>
      <c r="H3" s="3617" t="s">
        <v>625</v>
      </c>
      <c r="I3" s="3618"/>
      <c r="J3" s="3618"/>
      <c r="K3" s="3618"/>
      <c r="L3" s="3618"/>
      <c r="M3" s="3618"/>
      <c r="N3" s="3619"/>
      <c r="O3" s="108"/>
      <c r="P3" s="102"/>
      <c r="Q3" s="102"/>
      <c r="R3" s="102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/>
      <c r="CT3" s="103"/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/>
      <c r="DJ3" s="103"/>
      <c r="DK3" s="103"/>
      <c r="DL3" s="103"/>
      <c r="DM3" s="103"/>
      <c r="DN3" s="103"/>
      <c r="DO3" s="103"/>
      <c r="DP3" s="103"/>
      <c r="DQ3" s="103"/>
      <c r="DR3" s="103"/>
      <c r="DS3" s="103"/>
      <c r="DT3" s="103"/>
      <c r="DU3" s="103"/>
      <c r="DV3" s="103"/>
      <c r="DW3" s="103"/>
      <c r="DX3" s="103"/>
      <c r="DY3" s="103"/>
      <c r="DZ3" s="103"/>
      <c r="EA3" s="103"/>
      <c r="EB3" s="103"/>
      <c r="EC3" s="103"/>
      <c r="ED3" s="103"/>
      <c r="EE3" s="103"/>
      <c r="EF3" s="103"/>
      <c r="EG3" s="103"/>
      <c r="EH3" s="103"/>
      <c r="EI3" s="103"/>
      <c r="EJ3" s="103"/>
      <c r="EK3" s="103"/>
      <c r="EL3" s="103"/>
      <c r="EM3" s="103"/>
      <c r="EN3" s="103"/>
      <c r="EO3" s="103"/>
      <c r="EP3" s="103"/>
      <c r="EQ3" s="103"/>
      <c r="ER3" s="103"/>
      <c r="ES3" s="103"/>
      <c r="ET3" s="103"/>
      <c r="EU3" s="103"/>
      <c r="EV3" s="103"/>
      <c r="EW3" s="103"/>
      <c r="EX3" s="103"/>
      <c r="EY3" s="103"/>
      <c r="EZ3" s="103"/>
      <c r="FA3" s="103"/>
      <c r="FB3" s="103"/>
      <c r="FC3" s="103"/>
      <c r="FD3" s="103"/>
      <c r="FE3" s="103"/>
      <c r="FF3" s="103"/>
      <c r="FG3" s="103"/>
      <c r="FH3" s="103"/>
      <c r="FI3" s="103"/>
      <c r="FJ3" s="103"/>
      <c r="FK3" s="103"/>
      <c r="FL3" s="103"/>
    </row>
    <row r="4" spans="1:168" s="110" customFormat="1" ht="20.100000000000001" customHeight="1">
      <c r="A4" s="3606" t="s">
        <v>626</v>
      </c>
      <c r="B4" s="3608" t="s">
        <v>1566</v>
      </c>
      <c r="C4" s="3608"/>
      <c r="D4" s="3608" t="s">
        <v>1567</v>
      </c>
      <c r="E4" s="3608"/>
      <c r="F4" s="3608" t="s">
        <v>627</v>
      </c>
      <c r="G4" s="3609"/>
      <c r="H4" s="3610" t="str">
        <f>A4</f>
        <v>예산과목</v>
      </c>
      <c r="I4" s="3604" t="str">
        <f>B4</f>
        <v>2019년예산액(A)</v>
      </c>
      <c r="J4" s="3604"/>
      <c r="K4" s="3604" t="str">
        <f>D4</f>
        <v>2018년예산액(B)</v>
      </c>
      <c r="L4" s="3604"/>
      <c r="M4" s="3604" t="s">
        <v>628</v>
      </c>
      <c r="N4" s="3605"/>
      <c r="O4" s="109"/>
      <c r="P4" s="109"/>
      <c r="Q4" s="109"/>
      <c r="R4" s="109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  <c r="CW4" s="101"/>
      <c r="CX4" s="101"/>
      <c r="CY4" s="101"/>
      <c r="CZ4" s="101"/>
      <c r="DA4" s="101"/>
      <c r="DB4" s="101"/>
      <c r="DC4" s="101"/>
      <c r="DD4" s="101"/>
      <c r="DE4" s="101"/>
      <c r="DF4" s="101"/>
      <c r="DG4" s="101"/>
      <c r="DH4" s="101"/>
      <c r="DI4" s="101"/>
      <c r="DJ4" s="101"/>
      <c r="DK4" s="101"/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1"/>
      <c r="DZ4" s="101"/>
      <c r="EA4" s="101"/>
      <c r="EB4" s="101"/>
      <c r="EC4" s="101"/>
      <c r="ED4" s="101"/>
      <c r="EE4" s="101"/>
      <c r="EF4" s="101"/>
      <c r="EG4" s="101"/>
      <c r="EH4" s="101"/>
      <c r="EI4" s="101"/>
      <c r="EJ4" s="101"/>
      <c r="EK4" s="101"/>
      <c r="EL4" s="101"/>
      <c r="EM4" s="101"/>
      <c r="EN4" s="101"/>
      <c r="EO4" s="101"/>
      <c r="EP4" s="101"/>
      <c r="EQ4" s="101"/>
      <c r="ER4" s="101"/>
      <c r="ES4" s="101"/>
      <c r="ET4" s="101"/>
      <c r="EU4" s="101"/>
      <c r="EV4" s="101"/>
      <c r="EW4" s="101"/>
      <c r="EX4" s="101"/>
      <c r="EY4" s="101"/>
      <c r="EZ4" s="101"/>
      <c r="FA4" s="101"/>
      <c r="FB4" s="101"/>
      <c r="FC4" s="101"/>
      <c r="FD4" s="101"/>
      <c r="FE4" s="101"/>
      <c r="FF4" s="101"/>
      <c r="FG4" s="101"/>
      <c r="FH4" s="101"/>
      <c r="FI4" s="101"/>
      <c r="FJ4" s="101"/>
      <c r="FK4" s="101"/>
      <c r="FL4" s="101"/>
    </row>
    <row r="5" spans="1:168" s="110" customFormat="1" ht="20.100000000000001" customHeight="1">
      <c r="A5" s="3607"/>
      <c r="B5" s="329" t="s">
        <v>629</v>
      </c>
      <c r="C5" s="330" t="s">
        <v>630</v>
      </c>
      <c r="D5" s="329" t="s">
        <v>629</v>
      </c>
      <c r="E5" s="330" t="s">
        <v>630</v>
      </c>
      <c r="F5" s="331" t="s">
        <v>629</v>
      </c>
      <c r="G5" s="332" t="s">
        <v>631</v>
      </c>
      <c r="H5" s="3611"/>
      <c r="I5" s="333" t="s">
        <v>629</v>
      </c>
      <c r="J5" s="334" t="s">
        <v>630</v>
      </c>
      <c r="K5" s="333" t="s">
        <v>629</v>
      </c>
      <c r="L5" s="334" t="s">
        <v>630</v>
      </c>
      <c r="M5" s="335" t="s">
        <v>629</v>
      </c>
      <c r="N5" s="336" t="s">
        <v>631</v>
      </c>
      <c r="O5" s="109"/>
      <c r="P5" s="109"/>
      <c r="Q5" s="109"/>
      <c r="R5" s="109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  <c r="DQ5" s="101"/>
      <c r="DR5" s="101"/>
      <c r="DS5" s="101"/>
      <c r="DT5" s="101"/>
      <c r="DU5" s="101"/>
      <c r="DV5" s="101"/>
      <c r="DW5" s="101"/>
      <c r="DX5" s="101"/>
      <c r="DY5" s="101"/>
      <c r="DZ5" s="101"/>
      <c r="EA5" s="101"/>
      <c r="EB5" s="101"/>
      <c r="EC5" s="101"/>
      <c r="ED5" s="101"/>
      <c r="EE5" s="101"/>
      <c r="EF5" s="101"/>
      <c r="EG5" s="101"/>
      <c r="EH5" s="101"/>
      <c r="EI5" s="101"/>
      <c r="EJ5" s="101"/>
      <c r="EK5" s="101"/>
      <c r="EL5" s="101"/>
      <c r="EM5" s="101"/>
      <c r="EN5" s="101"/>
      <c r="EO5" s="101"/>
      <c r="EP5" s="101"/>
      <c r="EQ5" s="101"/>
      <c r="ER5" s="101"/>
      <c r="ES5" s="101"/>
      <c r="ET5" s="101"/>
      <c r="EU5" s="101"/>
      <c r="EV5" s="101"/>
      <c r="EW5" s="101"/>
      <c r="EX5" s="101"/>
      <c r="EY5" s="101"/>
      <c r="EZ5" s="101"/>
      <c r="FA5" s="101"/>
      <c r="FB5" s="101"/>
      <c r="FC5" s="101"/>
      <c r="FD5" s="101"/>
      <c r="FE5" s="101"/>
      <c r="FF5" s="101"/>
      <c r="FG5" s="101"/>
      <c r="FH5" s="101"/>
      <c r="FI5" s="101"/>
      <c r="FJ5" s="101"/>
      <c r="FK5" s="101"/>
      <c r="FL5" s="101"/>
    </row>
    <row r="6" spans="1:168" s="110" customFormat="1" ht="32.1" customHeight="1">
      <c r="A6" s="301" t="s">
        <v>632</v>
      </c>
      <c r="B6" s="302">
        <f>SUM(B7,B17)</f>
        <v>8711827000</v>
      </c>
      <c r="C6" s="303">
        <f>+C7+C17</f>
        <v>1</v>
      </c>
      <c r="D6" s="302">
        <f>SUM(D7,D17)</f>
        <v>10222359000</v>
      </c>
      <c r="E6" s="303">
        <f>+E7+E17</f>
        <v>1</v>
      </c>
      <c r="F6" s="304">
        <f t="shared" ref="F6:F13" si="0">+B6-D6</f>
        <v>-1510532000</v>
      </c>
      <c r="G6" s="337">
        <f>+F6/D6</f>
        <v>-0.14776745758977941</v>
      </c>
      <c r="H6" s="338" t="str">
        <f>A6</f>
        <v>총      계</v>
      </c>
      <c r="I6" s="302">
        <f>SUM(I7,I17)</f>
        <v>8711827000</v>
      </c>
      <c r="J6" s="303">
        <f>+J7+J17</f>
        <v>1</v>
      </c>
      <c r="K6" s="302">
        <f>SUM(K7,K17)</f>
        <v>10222359000</v>
      </c>
      <c r="L6" s="303">
        <f>+L7+L17</f>
        <v>1</v>
      </c>
      <c r="M6" s="304">
        <f t="shared" ref="M6:M25" si="1">+I6-K6</f>
        <v>-1510532000</v>
      </c>
      <c r="N6" s="305">
        <f>+M6/K6</f>
        <v>-0.14776745758977941</v>
      </c>
      <c r="O6" s="109"/>
      <c r="P6" s="109"/>
      <c r="Q6" s="109"/>
      <c r="R6" s="109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1"/>
      <c r="DS6" s="101"/>
      <c r="DT6" s="101"/>
      <c r="DU6" s="101"/>
      <c r="DV6" s="101"/>
      <c r="DW6" s="101"/>
      <c r="DX6" s="101"/>
      <c r="DY6" s="101"/>
      <c r="DZ6" s="101"/>
      <c r="EA6" s="101"/>
      <c r="EB6" s="101"/>
      <c r="EC6" s="101"/>
      <c r="ED6" s="101"/>
      <c r="EE6" s="101"/>
      <c r="EF6" s="101"/>
      <c r="EG6" s="101"/>
      <c r="EH6" s="101"/>
      <c r="EI6" s="101"/>
      <c r="EJ6" s="101"/>
      <c r="EK6" s="101"/>
      <c r="EL6" s="101"/>
      <c r="EM6" s="101"/>
      <c r="EN6" s="101"/>
      <c r="EO6" s="101"/>
      <c r="EP6" s="101"/>
      <c r="EQ6" s="101"/>
      <c r="ER6" s="101"/>
      <c r="ES6" s="101"/>
      <c r="ET6" s="101"/>
      <c r="EU6" s="101"/>
      <c r="EV6" s="101"/>
      <c r="EW6" s="101"/>
      <c r="EX6" s="101"/>
      <c r="EY6" s="101"/>
      <c r="EZ6" s="101"/>
      <c r="FA6" s="101"/>
      <c r="FB6" s="101"/>
      <c r="FC6" s="101"/>
      <c r="FD6" s="101"/>
      <c r="FE6" s="101"/>
      <c r="FF6" s="101"/>
      <c r="FG6" s="101"/>
      <c r="FH6" s="101"/>
      <c r="FI6" s="101"/>
      <c r="FJ6" s="101"/>
      <c r="FK6" s="101"/>
      <c r="FL6" s="101"/>
    </row>
    <row r="7" spans="1:168" s="110" customFormat="1" ht="32.1" customHeight="1">
      <c r="A7" s="306" t="s">
        <v>676</v>
      </c>
      <c r="B7" s="307">
        <f>SUM(B8:B16)</f>
        <v>6366834000</v>
      </c>
      <c r="C7" s="308">
        <f t="shared" ref="C7" si="2">+B7/$B$6</f>
        <v>0.73082649598069382</v>
      </c>
      <c r="D7" s="307">
        <f>SUM(D8:D16)</f>
        <v>8199699000</v>
      </c>
      <c r="E7" s="308">
        <f>+D7/$D$6</f>
        <v>0.80213373449318304</v>
      </c>
      <c r="F7" s="309">
        <f t="shared" si="0"/>
        <v>-1832865000</v>
      </c>
      <c r="G7" s="339">
        <f>+F7/D7</f>
        <v>-0.22352832707639633</v>
      </c>
      <c r="H7" s="340" t="s">
        <v>706</v>
      </c>
      <c r="I7" s="307">
        <f>SUM(I8:I16)</f>
        <v>6314513000</v>
      </c>
      <c r="J7" s="328">
        <f>+I7/I6</f>
        <v>0.72482075229455312</v>
      </c>
      <c r="K7" s="307">
        <f>SUM(K8:K16)</f>
        <v>8034222000</v>
      </c>
      <c r="L7" s="328">
        <f>+K7/K6</f>
        <v>0.78594598370102242</v>
      </c>
      <c r="M7" s="309">
        <f t="shared" si="1"/>
        <v>-1719709000</v>
      </c>
      <c r="N7" s="310">
        <f>+M7/K7</f>
        <v>-0.21404798124821545</v>
      </c>
      <c r="O7" s="109"/>
      <c r="P7" s="109"/>
      <c r="Q7" s="109"/>
      <c r="R7" s="109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  <c r="CW7" s="101"/>
      <c r="CX7" s="101"/>
      <c r="CY7" s="101"/>
      <c r="CZ7" s="101"/>
      <c r="DA7" s="101"/>
      <c r="DB7" s="101"/>
      <c r="DC7" s="101"/>
      <c r="DD7" s="101"/>
      <c r="DE7" s="101"/>
      <c r="DF7" s="101"/>
      <c r="DG7" s="101"/>
      <c r="DH7" s="101"/>
      <c r="DI7" s="101"/>
      <c r="DJ7" s="101"/>
      <c r="DK7" s="101"/>
      <c r="DL7" s="101"/>
      <c r="DM7" s="101"/>
      <c r="DN7" s="101"/>
      <c r="DO7" s="101"/>
      <c r="DP7" s="101"/>
      <c r="DQ7" s="101"/>
      <c r="DR7" s="101"/>
      <c r="DS7" s="101"/>
      <c r="DT7" s="101"/>
      <c r="DU7" s="101"/>
      <c r="DV7" s="101"/>
      <c r="DW7" s="101"/>
      <c r="DX7" s="101"/>
      <c r="DY7" s="101"/>
      <c r="DZ7" s="101"/>
      <c r="EA7" s="101"/>
      <c r="EB7" s="101"/>
      <c r="EC7" s="101"/>
      <c r="ED7" s="101"/>
      <c r="EE7" s="101"/>
      <c r="EF7" s="101"/>
      <c r="EG7" s="101"/>
      <c r="EH7" s="101"/>
      <c r="EI7" s="101"/>
      <c r="EJ7" s="101"/>
      <c r="EK7" s="101"/>
      <c r="EL7" s="101"/>
      <c r="EM7" s="101"/>
      <c r="EN7" s="101"/>
      <c r="EO7" s="101"/>
      <c r="EP7" s="101"/>
      <c r="EQ7" s="101"/>
      <c r="ER7" s="101"/>
      <c r="ES7" s="101"/>
      <c r="ET7" s="101"/>
      <c r="EU7" s="101"/>
      <c r="EV7" s="101"/>
      <c r="EW7" s="101"/>
      <c r="EX7" s="101"/>
      <c r="EY7" s="101"/>
      <c r="EZ7" s="101"/>
      <c r="FA7" s="101"/>
      <c r="FB7" s="101"/>
      <c r="FC7" s="101"/>
      <c r="FD7" s="101"/>
      <c r="FE7" s="101"/>
      <c r="FF7" s="101"/>
      <c r="FG7" s="101"/>
      <c r="FH7" s="101"/>
      <c r="FI7" s="101"/>
      <c r="FJ7" s="101"/>
      <c r="FK7" s="101"/>
      <c r="FL7" s="101"/>
    </row>
    <row r="8" spans="1:168" s="112" customFormat="1" ht="32.1" customHeight="1">
      <c r="A8" s="466" t="str">
        <f>세입예산총괄표3!A9</f>
        <v>지자체출자출연금</v>
      </c>
      <c r="B8" s="455">
        <f>세입예산총괄표3!B9</f>
        <v>4313212000</v>
      </c>
      <c r="C8" s="467">
        <f>+B8/$B$6</f>
        <v>0.495098444907136</v>
      </c>
      <c r="D8" s="468">
        <f>세입예산총괄표3!D9</f>
        <v>4598613000</v>
      </c>
      <c r="E8" s="467">
        <f>+D8/$D$6</f>
        <v>0.44985829591780135</v>
      </c>
      <c r="F8" s="469">
        <f t="shared" si="0"/>
        <v>-285401000</v>
      </c>
      <c r="G8" s="470">
        <f>+F8/D8</f>
        <v>-6.2062408817615225E-2</v>
      </c>
      <c r="H8" s="471" t="str">
        <f>세출예산총괄표4!A9</f>
        <v>인건비</v>
      </c>
      <c r="I8" s="468">
        <f>세출예산총괄표4!B9</f>
        <v>3523140000</v>
      </c>
      <c r="J8" s="467">
        <f t="shared" ref="J8:J25" si="3">+I8/$I$6</f>
        <v>0.40440885706293295</v>
      </c>
      <c r="K8" s="468">
        <f>세출예산총괄표4!D9</f>
        <v>3101397000</v>
      </c>
      <c r="L8" s="467">
        <f t="shared" ref="L8:L18" si="4">+K8/$K$6</f>
        <v>0.30339347307211573</v>
      </c>
      <c r="M8" s="469">
        <f t="shared" si="1"/>
        <v>421743000</v>
      </c>
      <c r="N8" s="472">
        <f>+M8/K8</f>
        <v>0.13598484811844469</v>
      </c>
      <c r="O8" s="34"/>
      <c r="P8" s="34"/>
      <c r="Q8" s="34"/>
      <c r="R8" s="34"/>
      <c r="S8" s="111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11"/>
      <c r="AJ8" s="111"/>
      <c r="AK8" s="111"/>
      <c r="AL8" s="111"/>
      <c r="AM8" s="111"/>
      <c r="AN8" s="111"/>
      <c r="AO8" s="111"/>
      <c r="AP8" s="111"/>
      <c r="AQ8" s="111"/>
      <c r="AR8" s="111"/>
      <c r="AS8" s="111"/>
      <c r="AT8" s="111"/>
      <c r="AU8" s="111"/>
      <c r="AV8" s="111"/>
      <c r="AW8" s="111"/>
      <c r="AX8" s="111"/>
      <c r="AY8" s="111"/>
      <c r="AZ8" s="111"/>
      <c r="BA8" s="111"/>
      <c r="BB8" s="111"/>
      <c r="BC8" s="111"/>
      <c r="BD8" s="111"/>
      <c r="BE8" s="111"/>
      <c r="BF8" s="111"/>
      <c r="BG8" s="111"/>
      <c r="BH8" s="111"/>
      <c r="BI8" s="111"/>
      <c r="BJ8" s="111"/>
      <c r="BK8" s="111"/>
      <c r="BL8" s="111"/>
      <c r="BM8" s="111"/>
      <c r="BN8" s="111"/>
      <c r="BO8" s="111"/>
      <c r="BP8" s="111"/>
      <c r="BQ8" s="111"/>
      <c r="BR8" s="111"/>
      <c r="BS8" s="111"/>
      <c r="BT8" s="111"/>
      <c r="BU8" s="111"/>
      <c r="BV8" s="111"/>
      <c r="BW8" s="111"/>
      <c r="BX8" s="111"/>
      <c r="BY8" s="111"/>
      <c r="BZ8" s="111"/>
      <c r="CA8" s="111"/>
      <c r="CB8" s="111"/>
      <c r="CC8" s="111"/>
      <c r="CD8" s="111"/>
      <c r="CE8" s="111"/>
      <c r="CF8" s="111"/>
      <c r="CG8" s="111"/>
      <c r="CH8" s="111"/>
      <c r="CI8" s="111"/>
      <c r="CJ8" s="111"/>
      <c r="CK8" s="111"/>
      <c r="CL8" s="111"/>
      <c r="CM8" s="111"/>
      <c r="CN8" s="111"/>
      <c r="CO8" s="111"/>
      <c r="CP8" s="111"/>
      <c r="CQ8" s="111"/>
      <c r="CR8" s="111"/>
      <c r="CS8" s="111"/>
      <c r="CT8" s="111"/>
      <c r="CU8" s="111"/>
      <c r="CV8" s="111"/>
      <c r="CW8" s="111"/>
      <c r="CX8" s="111"/>
      <c r="CY8" s="111"/>
      <c r="CZ8" s="111"/>
      <c r="DA8" s="111"/>
      <c r="DB8" s="111"/>
      <c r="DC8" s="111"/>
      <c r="DD8" s="111"/>
      <c r="DE8" s="111"/>
      <c r="DF8" s="111"/>
      <c r="DG8" s="111"/>
      <c r="DH8" s="111"/>
      <c r="DI8" s="111"/>
      <c r="DJ8" s="111"/>
      <c r="DK8" s="111"/>
      <c r="DL8" s="111"/>
      <c r="DM8" s="111"/>
      <c r="DN8" s="111"/>
      <c r="DO8" s="111"/>
      <c r="DP8" s="111"/>
      <c r="DQ8" s="111"/>
      <c r="DR8" s="111"/>
      <c r="DS8" s="111"/>
      <c r="DT8" s="111"/>
      <c r="DU8" s="111"/>
      <c r="DV8" s="111"/>
      <c r="DW8" s="111"/>
      <c r="DX8" s="111"/>
      <c r="DY8" s="111"/>
      <c r="DZ8" s="111"/>
      <c r="EA8" s="111"/>
      <c r="EB8" s="111"/>
      <c r="EC8" s="111"/>
      <c r="ED8" s="111"/>
      <c r="EE8" s="111"/>
      <c r="EF8" s="111"/>
      <c r="EG8" s="111"/>
      <c r="EH8" s="111"/>
      <c r="EI8" s="111"/>
      <c r="EJ8" s="111"/>
      <c r="EK8" s="111"/>
      <c r="EL8" s="111"/>
      <c r="EM8" s="111"/>
      <c r="EN8" s="111"/>
      <c r="EO8" s="111"/>
      <c r="EP8" s="111"/>
      <c r="EQ8" s="111"/>
      <c r="ER8" s="111"/>
      <c r="ES8" s="111"/>
      <c r="ET8" s="111"/>
      <c r="EU8" s="111"/>
      <c r="EV8" s="111"/>
      <c r="EW8" s="111"/>
      <c r="EX8" s="111"/>
      <c r="EY8" s="111"/>
      <c r="EZ8" s="111"/>
      <c r="FA8" s="111"/>
      <c r="FB8" s="111"/>
      <c r="FC8" s="111"/>
      <c r="FD8" s="111"/>
      <c r="FE8" s="111"/>
      <c r="FF8" s="111"/>
      <c r="FG8" s="111"/>
      <c r="FH8" s="111"/>
      <c r="FI8" s="111"/>
      <c r="FJ8" s="111"/>
      <c r="FK8" s="111"/>
      <c r="FL8" s="111"/>
    </row>
    <row r="9" spans="1:168" s="112" customFormat="1" ht="32.1" customHeight="1">
      <c r="A9" s="473" t="str">
        <f>세입예산총괄표3!A17</f>
        <v>보조금수익(출연금위탁교부)</v>
      </c>
      <c r="B9" s="449">
        <f>세입예산총괄표3!B17</f>
        <v>1601301000</v>
      </c>
      <c r="C9" s="401">
        <f>+B9/$B$6</f>
        <v>0.18380771335335286</v>
      </c>
      <c r="D9" s="440">
        <f>세입예산총괄표3!D17</f>
        <v>1401151000</v>
      </c>
      <c r="E9" s="474">
        <f t="shared" ref="E9" si="5">+D9/$D$6</f>
        <v>0.13706728554534231</v>
      </c>
      <c r="F9" s="438">
        <f t="shared" ref="F9" si="6">+B9-D9</f>
        <v>200150000</v>
      </c>
      <c r="G9" s="475">
        <f>+F9/D9</f>
        <v>0.14284684520083846</v>
      </c>
      <c r="H9" s="476" t="str">
        <f>세출예산총괄표4!A22</f>
        <v>경비</v>
      </c>
      <c r="I9" s="477">
        <f>세출예산총괄표4!B22</f>
        <v>1436607000</v>
      </c>
      <c r="J9" s="401">
        <f t="shared" ref="J9" si="7">+I9/$I$6</f>
        <v>0.16490306797873741</v>
      </c>
      <c r="K9" s="440">
        <f>세출예산총괄표4!D22</f>
        <v>1461948000</v>
      </c>
      <c r="L9" s="401">
        <f t="shared" ref="L9:L10" si="8">+K9/$K$6</f>
        <v>0.14301473857453059</v>
      </c>
      <c r="M9" s="438">
        <f t="shared" ref="M9:M10" si="9">+I9-K9</f>
        <v>-25341000</v>
      </c>
      <c r="N9" s="402">
        <f t="shared" ref="N9:N16" si="10">+M9/K9</f>
        <v>-1.7333721856044128E-2</v>
      </c>
      <c r="O9" s="34"/>
      <c r="P9" s="34"/>
      <c r="Q9" s="34"/>
      <c r="R9" s="34"/>
      <c r="S9" s="231"/>
      <c r="T9" s="111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1"/>
      <c r="AL9" s="111"/>
      <c r="AM9" s="111"/>
      <c r="AN9" s="111"/>
      <c r="AO9" s="111"/>
      <c r="AP9" s="111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111"/>
      <c r="BC9" s="111"/>
      <c r="BD9" s="111"/>
      <c r="BE9" s="111"/>
      <c r="BF9" s="111"/>
      <c r="BG9" s="111"/>
      <c r="BH9" s="111"/>
      <c r="BI9" s="111"/>
      <c r="BJ9" s="111"/>
      <c r="BK9" s="111"/>
      <c r="BL9" s="111"/>
      <c r="BM9" s="111"/>
      <c r="BN9" s="111"/>
      <c r="BO9" s="111"/>
      <c r="BP9" s="111"/>
      <c r="BQ9" s="111"/>
      <c r="BR9" s="111"/>
      <c r="BS9" s="111"/>
      <c r="BT9" s="111"/>
      <c r="BU9" s="111"/>
      <c r="BV9" s="111"/>
      <c r="BW9" s="111"/>
      <c r="BX9" s="111"/>
      <c r="BY9" s="111"/>
      <c r="BZ9" s="111"/>
      <c r="CA9" s="111"/>
      <c r="CB9" s="111"/>
      <c r="CC9" s="111"/>
      <c r="CD9" s="111"/>
      <c r="CE9" s="111"/>
      <c r="CF9" s="111"/>
      <c r="CG9" s="111"/>
      <c r="CH9" s="111"/>
      <c r="CI9" s="111"/>
      <c r="CJ9" s="111"/>
      <c r="CK9" s="111"/>
      <c r="CL9" s="111"/>
      <c r="CM9" s="111"/>
      <c r="CN9" s="111"/>
      <c r="CO9" s="111"/>
      <c r="CP9" s="111"/>
      <c r="CQ9" s="111"/>
      <c r="CR9" s="111"/>
      <c r="CS9" s="111"/>
      <c r="CT9" s="111"/>
      <c r="CU9" s="111"/>
      <c r="CV9" s="111"/>
      <c r="CW9" s="111"/>
      <c r="CX9" s="111"/>
      <c r="CY9" s="111"/>
      <c r="CZ9" s="111"/>
      <c r="DA9" s="111"/>
      <c r="DB9" s="111"/>
      <c r="DC9" s="111"/>
      <c r="DD9" s="111"/>
      <c r="DE9" s="111"/>
      <c r="DF9" s="111"/>
      <c r="DG9" s="111"/>
      <c r="DH9" s="111"/>
      <c r="DI9" s="111"/>
      <c r="DJ9" s="111"/>
      <c r="DK9" s="111"/>
      <c r="DL9" s="111"/>
      <c r="DM9" s="111"/>
      <c r="DN9" s="111"/>
      <c r="DO9" s="111"/>
      <c r="DP9" s="111"/>
      <c r="DQ9" s="111"/>
      <c r="DR9" s="111"/>
      <c r="DS9" s="111"/>
      <c r="DT9" s="111"/>
      <c r="DU9" s="111"/>
      <c r="DV9" s="111"/>
      <c r="DW9" s="111"/>
      <c r="DX9" s="111"/>
      <c r="DY9" s="111"/>
      <c r="DZ9" s="111"/>
      <c r="EA9" s="111"/>
      <c r="EB9" s="111"/>
      <c r="EC9" s="111"/>
      <c r="ED9" s="111"/>
      <c r="EE9" s="111"/>
      <c r="EF9" s="111"/>
      <c r="EG9" s="111"/>
      <c r="EH9" s="111"/>
      <c r="EI9" s="111"/>
      <c r="EJ9" s="111"/>
      <c r="EK9" s="111"/>
      <c r="EL9" s="111"/>
      <c r="EM9" s="111"/>
      <c r="EN9" s="111"/>
      <c r="EO9" s="111"/>
      <c r="EP9" s="111"/>
      <c r="EQ9" s="111"/>
      <c r="ER9" s="111"/>
      <c r="ES9" s="111"/>
      <c r="ET9" s="111"/>
      <c r="EU9" s="111"/>
      <c r="EV9" s="111"/>
      <c r="EW9" s="111"/>
      <c r="EX9" s="111"/>
      <c r="EY9" s="111"/>
      <c r="EZ9" s="111"/>
      <c r="FA9" s="111"/>
      <c r="FB9" s="111"/>
      <c r="FC9" s="111"/>
      <c r="FD9" s="111"/>
      <c r="FE9" s="111"/>
      <c r="FF9" s="111"/>
      <c r="FG9" s="111"/>
      <c r="FH9" s="111"/>
      <c r="FI9" s="111"/>
      <c r="FJ9" s="111"/>
      <c r="FK9" s="111"/>
      <c r="FL9" s="111"/>
    </row>
    <row r="10" spans="1:168" s="110" customFormat="1" ht="32.1" customHeight="1">
      <c r="A10" s="478" t="str">
        <f>세입예산총괄표3!A23</f>
        <v>국도시비보조금</v>
      </c>
      <c r="B10" s="440">
        <f>세입예산총괄표3!B23</f>
        <v>0</v>
      </c>
      <c r="C10" s="401">
        <f>+B10/$B$6</f>
        <v>0</v>
      </c>
      <c r="D10" s="440">
        <f>세입예산총괄표3!D23</f>
        <v>1553941000</v>
      </c>
      <c r="E10" s="474">
        <f t="shared" ref="E10:E13" si="11">+D10/$D$6</f>
        <v>0.15201393337878272</v>
      </c>
      <c r="F10" s="438">
        <f t="shared" si="0"/>
        <v>-1553941000</v>
      </c>
      <c r="G10" s="475">
        <f t="shared" ref="G10:G15" si="12">+F10/D10</f>
        <v>-1</v>
      </c>
      <c r="H10" s="479" t="str">
        <f>세출예산총괄표4!A35</f>
        <v>목적사업비</v>
      </c>
      <c r="I10" s="440">
        <f>세출예산총괄표4!B35</f>
        <v>1246418000</v>
      </c>
      <c r="J10" s="401">
        <f>+I10/$I$6</f>
        <v>0.1430719411668758</v>
      </c>
      <c r="K10" s="440">
        <f>세출예산총괄표4!D35</f>
        <v>1376686000</v>
      </c>
      <c r="L10" s="401">
        <f t="shared" si="8"/>
        <v>0.1346740023511207</v>
      </c>
      <c r="M10" s="438">
        <f t="shared" si="9"/>
        <v>-130268000</v>
      </c>
      <c r="N10" s="402">
        <f t="shared" si="10"/>
        <v>-9.462433699478312E-2</v>
      </c>
      <c r="O10" s="34"/>
      <c r="P10" s="34">
        <v>846418000</v>
      </c>
      <c r="Q10" s="34">
        <f>B15</f>
        <v>400000000</v>
      </c>
      <c r="R10" s="34">
        <v>946168600</v>
      </c>
      <c r="S10" s="231">
        <f>D15</f>
        <v>543830000</v>
      </c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01"/>
      <c r="AP10" s="101"/>
      <c r="AQ10" s="101"/>
      <c r="AR10" s="101"/>
      <c r="AS10" s="101"/>
      <c r="AT10" s="101"/>
      <c r="AU10" s="101"/>
      <c r="AV10" s="101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1"/>
      <c r="CY10" s="101"/>
      <c r="CZ10" s="101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101"/>
      <c r="EA10" s="101"/>
      <c r="EB10" s="101"/>
      <c r="EC10" s="101"/>
      <c r="ED10" s="101"/>
      <c r="EE10" s="101"/>
      <c r="EF10" s="101"/>
      <c r="EG10" s="101"/>
      <c r="EH10" s="101"/>
      <c r="EI10" s="101"/>
      <c r="EJ10" s="101"/>
      <c r="EK10" s="101"/>
      <c r="EL10" s="101"/>
      <c r="EM10" s="101"/>
      <c r="EN10" s="101"/>
      <c r="EO10" s="101"/>
      <c r="EP10" s="101"/>
      <c r="EQ10" s="101"/>
      <c r="ER10" s="101"/>
      <c r="ES10" s="101"/>
      <c r="ET10" s="101"/>
      <c r="EU10" s="101"/>
      <c r="EV10" s="101"/>
      <c r="EW10" s="101"/>
      <c r="EX10" s="101"/>
      <c r="EY10" s="101"/>
      <c r="EZ10" s="101"/>
      <c r="FA10" s="101"/>
      <c r="FB10" s="101"/>
      <c r="FC10" s="101"/>
      <c r="FD10" s="101"/>
      <c r="FE10" s="101"/>
      <c r="FF10" s="101"/>
      <c r="FG10" s="101"/>
      <c r="FH10" s="101"/>
      <c r="FI10" s="101"/>
      <c r="FJ10" s="101"/>
      <c r="FK10" s="101"/>
      <c r="FL10" s="101"/>
    </row>
    <row r="11" spans="1:168" s="110" customFormat="1" ht="32.1" customHeight="1">
      <c r="A11" s="478" t="str">
        <f>세입예산총괄표3!A31</f>
        <v>교육청사업</v>
      </c>
      <c r="B11" s="440">
        <f>세입예산총괄표3!B31</f>
        <v>0</v>
      </c>
      <c r="C11" s="401">
        <f>+B11/$B$6</f>
        <v>0</v>
      </c>
      <c r="D11" s="440">
        <f>세입예산총괄표3!D31</f>
        <v>44000000</v>
      </c>
      <c r="E11" s="474">
        <f t="shared" ref="E11:E12" si="13">+D11/$D$6</f>
        <v>4.304290232812211E-3</v>
      </c>
      <c r="F11" s="438">
        <f t="shared" ref="F11:F12" si="14">+B11-D11</f>
        <v>-44000000</v>
      </c>
      <c r="G11" s="475">
        <f t="shared" si="12"/>
        <v>-1</v>
      </c>
      <c r="H11" s="479" t="str">
        <f>세출예산총괄표4!A48</f>
        <v>국도시비보조금사업비</v>
      </c>
      <c r="I11" s="440">
        <f>세출예산총괄표4!B48</f>
        <v>0</v>
      </c>
      <c r="J11" s="401">
        <f>+I11/$I$6</f>
        <v>0</v>
      </c>
      <c r="K11" s="440">
        <f>세출예산총괄표4!D48</f>
        <v>1553941000</v>
      </c>
      <c r="L11" s="401">
        <f t="shared" ref="L11:L13" si="15">+K11/$K$6</f>
        <v>0.15201393337878272</v>
      </c>
      <c r="M11" s="438">
        <f t="shared" ref="M11:M13" si="16">+I11-K11</f>
        <v>-1553941000</v>
      </c>
      <c r="N11" s="402">
        <f t="shared" si="10"/>
        <v>-1</v>
      </c>
      <c r="O11" s="34"/>
      <c r="P11" s="34">
        <v>1604770000</v>
      </c>
      <c r="Q11" s="34"/>
      <c r="R11" s="34">
        <v>1278144000</v>
      </c>
      <c r="S11" s="231"/>
      <c r="T11" s="101"/>
      <c r="U11" s="232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  <c r="DN11" s="101"/>
      <c r="DO11" s="101"/>
      <c r="DP11" s="101"/>
      <c r="DQ11" s="101"/>
      <c r="DR11" s="101"/>
      <c r="DS11" s="101"/>
      <c r="DT11" s="101"/>
      <c r="DU11" s="101"/>
      <c r="DV11" s="101"/>
      <c r="DW11" s="101"/>
      <c r="DX11" s="101"/>
      <c r="DY11" s="101"/>
      <c r="DZ11" s="101"/>
      <c r="EA11" s="101"/>
      <c r="EB11" s="101"/>
      <c r="EC11" s="101"/>
      <c r="ED11" s="101"/>
      <c r="EE11" s="101"/>
      <c r="EF11" s="101"/>
      <c r="EG11" s="101"/>
      <c r="EH11" s="101"/>
      <c r="EI11" s="101"/>
      <c r="EJ11" s="101"/>
      <c r="EK11" s="101"/>
      <c r="EL11" s="101"/>
      <c r="EM11" s="101"/>
      <c r="EN11" s="101"/>
      <c r="EO11" s="101"/>
      <c r="EP11" s="101"/>
      <c r="EQ11" s="101"/>
      <c r="ER11" s="101"/>
      <c r="ES11" s="101"/>
      <c r="ET11" s="101"/>
      <c r="EU11" s="101"/>
      <c r="EV11" s="101"/>
      <c r="EW11" s="101"/>
      <c r="EX11" s="101"/>
      <c r="EY11" s="101"/>
      <c r="EZ11" s="101"/>
      <c r="FA11" s="101"/>
      <c r="FB11" s="101"/>
      <c r="FC11" s="101"/>
      <c r="FD11" s="101"/>
      <c r="FE11" s="101"/>
      <c r="FF11" s="101"/>
      <c r="FG11" s="101"/>
      <c r="FH11" s="101"/>
      <c r="FI11" s="101"/>
      <c r="FJ11" s="101"/>
      <c r="FK11" s="101"/>
      <c r="FL11" s="101"/>
    </row>
    <row r="12" spans="1:168" s="110" customFormat="1" ht="32.1" customHeight="1">
      <c r="A12" s="478" t="str">
        <f>세입예산총괄표3!A33</f>
        <v>기타보조금</v>
      </c>
      <c r="B12" s="440">
        <f>세입예산총괄표3!B33</f>
        <v>0</v>
      </c>
      <c r="C12" s="401">
        <f>+B12/$B$6</f>
        <v>0</v>
      </c>
      <c r="D12" s="440">
        <f>세입예산총괄표3!D33</f>
        <v>6000000</v>
      </c>
      <c r="E12" s="474">
        <f t="shared" si="13"/>
        <v>5.8694866811075607E-4</v>
      </c>
      <c r="F12" s="438">
        <f t="shared" si="14"/>
        <v>-6000000</v>
      </c>
      <c r="G12" s="475">
        <f t="shared" si="12"/>
        <v>-1</v>
      </c>
      <c r="H12" s="479" t="str">
        <f>세출예산총괄표4!A56</f>
        <v>교육청사업비</v>
      </c>
      <c r="I12" s="440">
        <f>세출예산총괄표4!B56</f>
        <v>0</v>
      </c>
      <c r="J12" s="401">
        <f>+I12/$I$6</f>
        <v>0</v>
      </c>
      <c r="K12" s="440">
        <f>세출예산총괄표4!D56</f>
        <v>44000000</v>
      </c>
      <c r="L12" s="401">
        <f t="shared" si="15"/>
        <v>4.304290232812211E-3</v>
      </c>
      <c r="M12" s="438">
        <f t="shared" si="16"/>
        <v>-44000000</v>
      </c>
      <c r="N12" s="402">
        <f t="shared" si="10"/>
        <v>-1</v>
      </c>
      <c r="O12" s="34"/>
      <c r="P12" s="34">
        <f>P10+Q10</f>
        <v>1246418000</v>
      </c>
      <c r="Q12" s="34"/>
      <c r="R12" s="34">
        <v>1278144000</v>
      </c>
      <c r="S12" s="23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  <c r="DN12" s="101"/>
      <c r="DO12" s="101"/>
      <c r="DP12" s="101"/>
      <c r="DQ12" s="101"/>
      <c r="DR12" s="101"/>
      <c r="DS12" s="101"/>
      <c r="DT12" s="101"/>
      <c r="DU12" s="101"/>
      <c r="DV12" s="101"/>
      <c r="DW12" s="101"/>
      <c r="DX12" s="101"/>
      <c r="DY12" s="101"/>
      <c r="DZ12" s="101"/>
      <c r="EA12" s="101"/>
      <c r="EB12" s="101"/>
      <c r="EC12" s="101"/>
      <c r="ED12" s="101"/>
      <c r="EE12" s="101"/>
      <c r="EF12" s="101"/>
      <c r="EG12" s="101"/>
      <c r="EH12" s="101"/>
      <c r="EI12" s="101"/>
      <c r="EJ12" s="101"/>
      <c r="EK12" s="101"/>
      <c r="EL12" s="101"/>
      <c r="EM12" s="101"/>
      <c r="EN12" s="101"/>
      <c r="EO12" s="101"/>
      <c r="EP12" s="101"/>
      <c r="EQ12" s="101"/>
      <c r="ER12" s="101"/>
      <c r="ES12" s="101"/>
      <c r="ET12" s="101"/>
      <c r="EU12" s="101"/>
      <c r="EV12" s="101"/>
      <c r="EW12" s="101"/>
      <c r="EX12" s="101"/>
      <c r="EY12" s="101"/>
      <c r="EZ12" s="101"/>
      <c r="FA12" s="101"/>
      <c r="FB12" s="101"/>
      <c r="FC12" s="101"/>
      <c r="FD12" s="101"/>
      <c r="FE12" s="101"/>
      <c r="FF12" s="101"/>
      <c r="FG12" s="101"/>
      <c r="FH12" s="101"/>
      <c r="FI12" s="101"/>
      <c r="FJ12" s="101"/>
      <c r="FK12" s="101"/>
      <c r="FL12" s="101"/>
    </row>
    <row r="13" spans="1:168" s="110" customFormat="1" ht="32.1" customHeight="1">
      <c r="A13" s="478" t="str">
        <f>세입예산총괄표3!A40</f>
        <v>이자수익</v>
      </c>
      <c r="B13" s="440">
        <f>세입예산총괄표3!B40</f>
        <v>2321000</v>
      </c>
      <c r="C13" s="401">
        <f t="shared" ref="C13:C14" si="17">+B13/$B$6</f>
        <v>2.6641943188265789E-4</v>
      </c>
      <c r="D13" s="440">
        <f>세입예산총괄표3!D40</f>
        <v>2164000</v>
      </c>
      <c r="E13" s="474">
        <f t="shared" si="11"/>
        <v>2.1169281963194601E-4</v>
      </c>
      <c r="F13" s="438">
        <f t="shared" si="0"/>
        <v>157000</v>
      </c>
      <c r="G13" s="475">
        <f t="shared" si="12"/>
        <v>7.2550831792975973E-2</v>
      </c>
      <c r="H13" s="479" t="str">
        <f>세출예산총괄표4!A58</f>
        <v>기타보조금사업비</v>
      </c>
      <c r="I13" s="440">
        <f>세출예산총괄표4!B58</f>
        <v>0</v>
      </c>
      <c r="J13" s="401">
        <f>+I13/$I$6</f>
        <v>0</v>
      </c>
      <c r="K13" s="440">
        <f>세출예산총괄표4!D58</f>
        <v>6000000</v>
      </c>
      <c r="L13" s="401">
        <f t="shared" si="15"/>
        <v>5.8694866811075607E-4</v>
      </c>
      <c r="M13" s="438">
        <f t="shared" si="16"/>
        <v>-6000000</v>
      </c>
      <c r="N13" s="402">
        <f t="shared" si="10"/>
        <v>-1</v>
      </c>
      <c r="O13" s="34"/>
      <c r="P13" s="34"/>
      <c r="Q13" s="34"/>
      <c r="R13" s="34">
        <f>K20-R12</f>
        <v>-8000000</v>
      </c>
      <c r="S13" s="101"/>
      <c r="T13" s="101"/>
      <c r="U13" s="232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1"/>
      <c r="CY13" s="101"/>
      <c r="CZ13" s="101"/>
      <c r="DA13" s="101"/>
      <c r="DB13" s="101"/>
      <c r="DC13" s="101"/>
      <c r="DD13" s="101"/>
      <c r="DE13" s="101"/>
      <c r="DF13" s="101"/>
      <c r="DG13" s="101"/>
      <c r="DH13" s="101"/>
      <c r="DI13" s="101"/>
      <c r="DJ13" s="101"/>
      <c r="DK13" s="101"/>
      <c r="DL13" s="101"/>
      <c r="DM13" s="101"/>
      <c r="DN13" s="101"/>
      <c r="DO13" s="101"/>
      <c r="DP13" s="101"/>
      <c r="DQ13" s="101"/>
      <c r="DR13" s="101"/>
      <c r="DS13" s="101"/>
      <c r="DT13" s="101"/>
      <c r="DU13" s="101"/>
      <c r="DV13" s="101"/>
      <c r="DW13" s="101"/>
      <c r="DX13" s="101"/>
      <c r="DY13" s="101"/>
      <c r="DZ13" s="101"/>
      <c r="EA13" s="101"/>
      <c r="EB13" s="101"/>
      <c r="EC13" s="101"/>
      <c r="ED13" s="101"/>
      <c r="EE13" s="101"/>
      <c r="EF13" s="101"/>
      <c r="EG13" s="101"/>
      <c r="EH13" s="101"/>
      <c r="EI13" s="101"/>
      <c r="EJ13" s="101"/>
      <c r="EK13" s="101"/>
      <c r="EL13" s="101"/>
      <c r="EM13" s="101"/>
      <c r="EN13" s="101"/>
      <c r="EO13" s="101"/>
      <c r="EP13" s="101"/>
      <c r="EQ13" s="101"/>
      <c r="ER13" s="101"/>
      <c r="ES13" s="101"/>
      <c r="ET13" s="101"/>
      <c r="EU13" s="101"/>
      <c r="EV13" s="101"/>
      <c r="EW13" s="101"/>
      <c r="EX13" s="101"/>
      <c r="EY13" s="101"/>
      <c r="EZ13" s="101"/>
      <c r="FA13" s="101"/>
      <c r="FB13" s="101"/>
      <c r="FC13" s="101"/>
      <c r="FD13" s="101"/>
      <c r="FE13" s="101"/>
      <c r="FF13" s="101"/>
      <c r="FG13" s="101"/>
      <c r="FH13" s="101"/>
      <c r="FI13" s="101"/>
      <c r="FJ13" s="101"/>
      <c r="FK13" s="101"/>
      <c r="FL13" s="101"/>
    </row>
    <row r="14" spans="1:168" s="110" customFormat="1" ht="32.1" customHeight="1">
      <c r="A14" s="478" t="str">
        <f>세입예산총괄표3!A53</f>
        <v>법인전입금</v>
      </c>
      <c r="B14" s="440">
        <f>세입예산총괄표3!B53</f>
        <v>50000000</v>
      </c>
      <c r="C14" s="401">
        <f t="shared" si="17"/>
        <v>5.7393242542580335E-3</v>
      </c>
      <c r="D14" s="440">
        <f>세입예산총괄표3!D53</f>
        <v>50000000</v>
      </c>
      <c r="E14" s="474">
        <f t="shared" ref="E14" si="18">+D14/$D$6</f>
        <v>4.8912389009229673E-3</v>
      </c>
      <c r="F14" s="438">
        <f t="shared" ref="F14" si="19">+B14-D14</f>
        <v>0</v>
      </c>
      <c r="G14" s="475">
        <f t="shared" si="12"/>
        <v>0</v>
      </c>
      <c r="H14" s="479" t="str">
        <f>세출예산총괄표4!A60</f>
        <v>자산취득비</v>
      </c>
      <c r="I14" s="440">
        <f>세출예산총괄표4!B60</f>
        <v>16900000</v>
      </c>
      <c r="J14" s="401">
        <f t="shared" ref="J14:J16" si="20">+I14/$I$6</f>
        <v>1.9398915979392153E-3</v>
      </c>
      <c r="K14" s="440">
        <f>세출예산총괄표4!D60</f>
        <v>378802000</v>
      </c>
      <c r="L14" s="401">
        <f t="shared" ref="L14:L16" si="21">+K14/$K$6</f>
        <v>3.7056221562948438E-2</v>
      </c>
      <c r="M14" s="438">
        <f t="shared" ref="M14:M16" si="22">+I14-K14</f>
        <v>-361902000</v>
      </c>
      <c r="N14" s="402">
        <f t="shared" si="10"/>
        <v>-0.95538566322247509</v>
      </c>
      <c r="O14" s="34"/>
      <c r="P14" s="34"/>
      <c r="Q14" s="34"/>
      <c r="R14" s="34">
        <v>1270144000</v>
      </c>
      <c r="S14" s="101"/>
      <c r="T14" s="101"/>
      <c r="U14" s="232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  <c r="CW14" s="101"/>
      <c r="CX14" s="101"/>
      <c r="CY14" s="101"/>
      <c r="CZ14" s="101"/>
      <c r="DA14" s="101"/>
      <c r="DB14" s="101"/>
      <c r="DC14" s="101"/>
      <c r="DD14" s="101"/>
      <c r="DE14" s="101"/>
      <c r="DF14" s="101"/>
      <c r="DG14" s="101"/>
      <c r="DH14" s="101"/>
      <c r="DI14" s="101"/>
      <c r="DJ14" s="101"/>
      <c r="DK14" s="101"/>
      <c r="DL14" s="101"/>
      <c r="DM14" s="101"/>
      <c r="DN14" s="101"/>
      <c r="DO14" s="101"/>
      <c r="DP14" s="101"/>
      <c r="DQ14" s="101"/>
      <c r="DR14" s="101"/>
      <c r="DS14" s="101"/>
      <c r="DT14" s="101"/>
      <c r="DU14" s="101"/>
      <c r="DV14" s="101"/>
      <c r="DW14" s="101"/>
      <c r="DX14" s="101"/>
      <c r="DY14" s="101"/>
      <c r="DZ14" s="101"/>
      <c r="EA14" s="101"/>
      <c r="EB14" s="101"/>
      <c r="EC14" s="101"/>
      <c r="ED14" s="101"/>
      <c r="EE14" s="101"/>
      <c r="EF14" s="101"/>
      <c r="EG14" s="101"/>
      <c r="EH14" s="101"/>
      <c r="EI14" s="101"/>
      <c r="EJ14" s="101"/>
      <c r="EK14" s="101"/>
      <c r="EL14" s="101"/>
      <c r="EM14" s="101"/>
      <c r="EN14" s="101"/>
      <c r="EO14" s="101"/>
      <c r="EP14" s="101"/>
      <c r="EQ14" s="101"/>
      <c r="ER14" s="101"/>
      <c r="ES14" s="101"/>
      <c r="ET14" s="101"/>
      <c r="EU14" s="101"/>
      <c r="EV14" s="101"/>
      <c r="EW14" s="101"/>
      <c r="EX14" s="101"/>
      <c r="EY14" s="101"/>
      <c r="EZ14" s="101"/>
      <c r="FA14" s="101"/>
      <c r="FB14" s="101"/>
      <c r="FC14" s="101"/>
      <c r="FD14" s="101"/>
      <c r="FE14" s="101"/>
      <c r="FF14" s="101"/>
      <c r="FG14" s="101"/>
      <c r="FH14" s="101"/>
      <c r="FI14" s="101"/>
      <c r="FJ14" s="101"/>
      <c r="FK14" s="101"/>
      <c r="FL14" s="101"/>
    </row>
    <row r="15" spans="1:168" s="110" customFormat="1" ht="32.1" customHeight="1">
      <c r="A15" s="478" t="str">
        <f>세입예산총괄표3!A55</f>
        <v>이월금 및 출자출연금</v>
      </c>
      <c r="B15" s="440">
        <f>세입예산총괄표3!B55</f>
        <v>400000000</v>
      </c>
      <c r="C15" s="401">
        <f t="shared" ref="C15" si="23">+B15/$B$6</f>
        <v>4.5914594034064268E-2</v>
      </c>
      <c r="D15" s="440">
        <f>세입예산총괄표3!D55</f>
        <v>543830000</v>
      </c>
      <c r="E15" s="474">
        <f t="shared" ref="E15" si="24">+D15/$D$6</f>
        <v>5.3200049029778741E-2</v>
      </c>
      <c r="F15" s="438">
        <f t="shared" ref="F15" si="25">+B15-D15</f>
        <v>-143830000</v>
      </c>
      <c r="G15" s="475">
        <f t="shared" si="12"/>
        <v>-0.26447603111266388</v>
      </c>
      <c r="H15" s="479" t="str">
        <f>세출예산총괄표4!A69</f>
        <v>성과급</v>
      </c>
      <c r="I15" s="440">
        <f>세출예산총괄표4!B69</f>
        <v>91448000</v>
      </c>
      <c r="J15" s="401">
        <f t="shared" si="20"/>
        <v>1.0496994488067773E-2</v>
      </c>
      <c r="K15" s="440">
        <f>세출예산총괄표4!D69</f>
        <v>91448000</v>
      </c>
      <c r="L15" s="401">
        <f t="shared" si="21"/>
        <v>8.9458803002320699E-3</v>
      </c>
      <c r="M15" s="438">
        <f t="shared" si="22"/>
        <v>0</v>
      </c>
      <c r="N15" s="402">
        <f t="shared" si="10"/>
        <v>0</v>
      </c>
      <c r="O15" s="34"/>
      <c r="P15" s="34"/>
      <c r="Q15" s="34"/>
      <c r="R15" s="34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  <c r="DN15" s="101"/>
      <c r="DO15" s="101"/>
      <c r="DP15" s="101"/>
      <c r="DQ15" s="101"/>
      <c r="DR15" s="101"/>
      <c r="DS15" s="101"/>
      <c r="DT15" s="101"/>
      <c r="DU15" s="101"/>
      <c r="DV15" s="101"/>
      <c r="DW15" s="101"/>
      <c r="DX15" s="101"/>
      <c r="DY15" s="101"/>
      <c r="DZ15" s="101"/>
      <c r="EA15" s="101"/>
      <c r="EB15" s="101"/>
      <c r="EC15" s="101"/>
      <c r="ED15" s="101"/>
      <c r="EE15" s="101"/>
      <c r="EF15" s="101"/>
      <c r="EG15" s="101"/>
      <c r="EH15" s="101"/>
      <c r="EI15" s="101"/>
      <c r="EJ15" s="101"/>
      <c r="EK15" s="101"/>
      <c r="EL15" s="101"/>
      <c r="EM15" s="101"/>
      <c r="EN15" s="101"/>
      <c r="EO15" s="101"/>
      <c r="EP15" s="101"/>
      <c r="EQ15" s="101"/>
      <c r="ER15" s="101"/>
      <c r="ES15" s="101"/>
      <c r="ET15" s="101"/>
      <c r="EU15" s="101"/>
      <c r="EV15" s="101"/>
      <c r="EW15" s="101"/>
      <c r="EX15" s="101"/>
      <c r="EY15" s="101"/>
      <c r="EZ15" s="101"/>
      <c r="FA15" s="101"/>
      <c r="FB15" s="101"/>
      <c r="FC15" s="101"/>
      <c r="FD15" s="101"/>
      <c r="FE15" s="101"/>
      <c r="FF15" s="101"/>
      <c r="FG15" s="101"/>
      <c r="FH15" s="101"/>
      <c r="FI15" s="101"/>
      <c r="FJ15" s="101"/>
      <c r="FK15" s="101"/>
      <c r="FL15" s="101"/>
    </row>
    <row r="16" spans="1:168" s="110" customFormat="1" ht="32.1" customHeight="1">
      <c r="A16" s="480"/>
      <c r="B16" s="442"/>
      <c r="C16" s="443"/>
      <c r="D16" s="442"/>
      <c r="E16" s="481"/>
      <c r="F16" s="444"/>
      <c r="G16" s="482"/>
      <c r="H16" s="483" t="str">
        <f>세출예산총괄표4!A71</f>
        <v>예비비</v>
      </c>
      <c r="I16" s="442">
        <f>세출예산총괄표4!B71</f>
        <v>0</v>
      </c>
      <c r="J16" s="443">
        <f t="shared" si="20"/>
        <v>0</v>
      </c>
      <c r="K16" s="442">
        <f>세출예산총괄표4!D71</f>
        <v>20000000</v>
      </c>
      <c r="L16" s="443">
        <f t="shared" si="21"/>
        <v>1.9564955603691868E-3</v>
      </c>
      <c r="M16" s="444">
        <f t="shared" si="22"/>
        <v>-20000000</v>
      </c>
      <c r="N16" s="445">
        <f t="shared" si="10"/>
        <v>-1</v>
      </c>
      <c r="O16" s="34"/>
      <c r="P16" s="34"/>
      <c r="Q16" s="34"/>
      <c r="R16" s="34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/>
      <c r="DH16" s="101"/>
      <c r="DI16" s="101"/>
      <c r="DJ16" s="101"/>
      <c r="DK16" s="101"/>
      <c r="DL16" s="101"/>
      <c r="DM16" s="101"/>
      <c r="DN16" s="101"/>
      <c r="DO16" s="101"/>
      <c r="DP16" s="101"/>
      <c r="DQ16" s="101"/>
      <c r="DR16" s="101"/>
      <c r="DS16" s="101"/>
      <c r="DT16" s="101"/>
      <c r="DU16" s="101"/>
      <c r="DV16" s="101"/>
      <c r="DW16" s="101"/>
      <c r="DX16" s="101"/>
      <c r="DY16" s="101"/>
      <c r="DZ16" s="101"/>
      <c r="EA16" s="101"/>
      <c r="EB16" s="101"/>
      <c r="EC16" s="101"/>
      <c r="ED16" s="101"/>
      <c r="EE16" s="101"/>
      <c r="EF16" s="101"/>
      <c r="EG16" s="101"/>
      <c r="EH16" s="101"/>
      <c r="EI16" s="101"/>
      <c r="EJ16" s="101"/>
      <c r="EK16" s="101"/>
      <c r="EL16" s="101"/>
      <c r="EM16" s="101"/>
      <c r="EN16" s="101"/>
      <c r="EO16" s="101"/>
      <c r="EP16" s="101"/>
      <c r="EQ16" s="101"/>
      <c r="ER16" s="101"/>
      <c r="ES16" s="101"/>
      <c r="ET16" s="101"/>
      <c r="EU16" s="101"/>
      <c r="EV16" s="101"/>
      <c r="EW16" s="101"/>
      <c r="EX16" s="101"/>
      <c r="EY16" s="101"/>
      <c r="EZ16" s="101"/>
      <c r="FA16" s="101"/>
      <c r="FB16" s="101"/>
      <c r="FC16" s="101"/>
      <c r="FD16" s="101"/>
      <c r="FE16" s="101"/>
      <c r="FF16" s="101"/>
      <c r="FG16" s="101"/>
      <c r="FH16" s="101"/>
      <c r="FI16" s="101"/>
      <c r="FJ16" s="101"/>
      <c r="FK16" s="101"/>
      <c r="FL16" s="101"/>
    </row>
    <row r="17" spans="1:168" s="110" customFormat="1" ht="32.1" customHeight="1">
      <c r="A17" s="341" t="s">
        <v>707</v>
      </c>
      <c r="B17" s="342">
        <f>SUM(B18:B25)</f>
        <v>2344993000</v>
      </c>
      <c r="C17" s="343">
        <f t="shared" ref="C17:C22" si="26">+B17/$B$6</f>
        <v>0.26917350401930618</v>
      </c>
      <c r="D17" s="342">
        <f>SUM(D18:D25)</f>
        <v>2022660000</v>
      </c>
      <c r="E17" s="343">
        <f t="shared" ref="E17:E21" si="27">+D17/$D$6</f>
        <v>0.19786626550681696</v>
      </c>
      <c r="F17" s="344">
        <f t="shared" ref="F17:F22" si="28">+B17-D17</f>
        <v>322333000</v>
      </c>
      <c r="G17" s="345">
        <f>+F17/D17</f>
        <v>0.15936094054364056</v>
      </c>
      <c r="H17" s="346" t="s">
        <v>708</v>
      </c>
      <c r="I17" s="342">
        <f>SUM(I18:I25)</f>
        <v>2397314000</v>
      </c>
      <c r="J17" s="343">
        <f t="shared" si="3"/>
        <v>0.27517924770544688</v>
      </c>
      <c r="K17" s="342">
        <f>SUM(K18:K25)</f>
        <v>2188137000</v>
      </c>
      <c r="L17" s="343">
        <f t="shared" si="4"/>
        <v>0.21405401629897758</v>
      </c>
      <c r="M17" s="344">
        <f t="shared" si="1"/>
        <v>209177000</v>
      </c>
      <c r="N17" s="347">
        <f t="shared" ref="N17:N25" si="29">+M17/K17</f>
        <v>9.5595933892621901E-2</v>
      </c>
      <c r="O17" s="34"/>
      <c r="P17" s="34"/>
      <c r="Q17" s="34"/>
      <c r="R17" s="34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101"/>
      <c r="AU17" s="101"/>
      <c r="AV17" s="101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  <c r="CW17" s="101"/>
      <c r="CX17" s="101"/>
      <c r="CY17" s="101"/>
      <c r="CZ17" s="101"/>
      <c r="DA17" s="101"/>
      <c r="DB17" s="101"/>
      <c r="DC17" s="101"/>
      <c r="DD17" s="101"/>
      <c r="DE17" s="101"/>
      <c r="DF17" s="101"/>
      <c r="DG17" s="101"/>
      <c r="DH17" s="101"/>
      <c r="DI17" s="101"/>
      <c r="DJ17" s="101"/>
      <c r="DK17" s="101"/>
      <c r="DL17" s="101"/>
      <c r="DM17" s="101"/>
      <c r="DN17" s="101"/>
      <c r="DO17" s="101"/>
      <c r="DP17" s="101"/>
      <c r="DQ17" s="101"/>
      <c r="DR17" s="101"/>
      <c r="DS17" s="101"/>
      <c r="DT17" s="101"/>
      <c r="DU17" s="101"/>
      <c r="DV17" s="101"/>
      <c r="DW17" s="101"/>
      <c r="DX17" s="101"/>
      <c r="DY17" s="101"/>
      <c r="DZ17" s="101"/>
      <c r="EA17" s="101"/>
      <c r="EB17" s="101"/>
      <c r="EC17" s="101"/>
      <c r="ED17" s="101"/>
      <c r="EE17" s="101"/>
      <c r="EF17" s="101"/>
      <c r="EG17" s="101"/>
      <c r="EH17" s="101"/>
      <c r="EI17" s="101"/>
      <c r="EJ17" s="101"/>
      <c r="EK17" s="101"/>
      <c r="EL17" s="101"/>
      <c r="EM17" s="101"/>
      <c r="EN17" s="101"/>
      <c r="EO17" s="101"/>
      <c r="EP17" s="101"/>
      <c r="EQ17" s="101"/>
      <c r="ER17" s="101"/>
      <c r="ES17" s="101"/>
      <c r="ET17" s="101"/>
      <c r="EU17" s="101"/>
      <c r="EV17" s="101"/>
      <c r="EW17" s="101"/>
      <c r="EX17" s="101"/>
      <c r="EY17" s="101"/>
      <c r="EZ17" s="101"/>
      <c r="FA17" s="101"/>
      <c r="FB17" s="101"/>
      <c r="FC17" s="101"/>
      <c r="FD17" s="101"/>
      <c r="FE17" s="101"/>
      <c r="FF17" s="101"/>
      <c r="FG17" s="101"/>
      <c r="FH17" s="101"/>
      <c r="FI17" s="101"/>
      <c r="FJ17" s="101"/>
      <c r="FK17" s="101"/>
      <c r="FL17" s="101"/>
    </row>
    <row r="18" spans="1:168" s="110" customFormat="1" ht="32.1" customHeight="1">
      <c r="A18" s="484" t="str">
        <f>세입예산총괄표3!A58</f>
        <v>자체사업수익</v>
      </c>
      <c r="B18" s="468">
        <f>세입예산총괄표3!B58</f>
        <v>1912797000</v>
      </c>
      <c r="C18" s="485">
        <f t="shared" si="26"/>
        <v>0.21956324431144006</v>
      </c>
      <c r="D18" s="468">
        <f>세입예산총괄표3!D58</f>
        <v>1567430000</v>
      </c>
      <c r="E18" s="485">
        <f t="shared" si="27"/>
        <v>0.15333349180947373</v>
      </c>
      <c r="F18" s="469">
        <f t="shared" si="28"/>
        <v>345367000</v>
      </c>
      <c r="G18" s="486">
        <f>+F18/D18</f>
        <v>0.22033966429122831</v>
      </c>
      <c r="H18" s="471" t="str">
        <f>세출예산총괄표4!A74</f>
        <v>자체사업인건비</v>
      </c>
      <c r="I18" s="468">
        <f>세출예산총괄표4!B74</f>
        <v>302874000</v>
      </c>
      <c r="J18" s="467">
        <f>+I18/$I$6</f>
        <v>3.4765841883682952E-2</v>
      </c>
      <c r="K18" s="468">
        <f>세출예산총괄표4!D74</f>
        <v>265752000</v>
      </c>
      <c r="L18" s="467">
        <f t="shared" si="4"/>
        <v>2.5997130407961606E-2</v>
      </c>
      <c r="M18" s="469">
        <f t="shared" si="1"/>
        <v>37122000</v>
      </c>
      <c r="N18" s="472">
        <f t="shared" si="29"/>
        <v>0.13968662512417593</v>
      </c>
      <c r="O18" s="34"/>
      <c r="P18" s="34"/>
      <c r="Q18" s="34"/>
      <c r="R18" s="34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  <c r="DO18" s="101"/>
      <c r="DP18" s="101"/>
      <c r="DQ18" s="101"/>
      <c r="DR18" s="101"/>
      <c r="DS18" s="101"/>
      <c r="DT18" s="101"/>
      <c r="DU18" s="101"/>
      <c r="DV18" s="101"/>
      <c r="DW18" s="101"/>
      <c r="DX18" s="101"/>
      <c r="DY18" s="101"/>
      <c r="DZ18" s="101"/>
      <c r="EA18" s="101"/>
      <c r="EB18" s="101"/>
      <c r="EC18" s="101"/>
      <c r="ED18" s="101"/>
      <c r="EE18" s="101"/>
      <c r="EF18" s="101"/>
      <c r="EG18" s="101"/>
      <c r="EH18" s="101"/>
      <c r="EI18" s="101"/>
      <c r="EJ18" s="101"/>
      <c r="EK18" s="101"/>
      <c r="EL18" s="101"/>
      <c r="EM18" s="101"/>
      <c r="EN18" s="101"/>
      <c r="EO18" s="101"/>
      <c r="EP18" s="101"/>
      <c r="EQ18" s="101"/>
      <c r="ER18" s="101"/>
      <c r="ES18" s="101"/>
      <c r="ET18" s="101"/>
      <c r="EU18" s="101"/>
      <c r="EV18" s="101"/>
      <c r="EW18" s="101"/>
      <c r="EX18" s="101"/>
      <c r="EY18" s="101"/>
      <c r="EZ18" s="101"/>
      <c r="FA18" s="101"/>
      <c r="FB18" s="101"/>
      <c r="FC18" s="101"/>
      <c r="FD18" s="101"/>
      <c r="FE18" s="101"/>
      <c r="FF18" s="101"/>
      <c r="FG18" s="101"/>
      <c r="FH18" s="101"/>
      <c r="FI18" s="101"/>
      <c r="FJ18" s="101"/>
      <c r="FK18" s="101"/>
      <c r="FL18" s="101"/>
    </row>
    <row r="19" spans="1:168" s="110" customFormat="1" ht="32.1" customHeight="1">
      <c r="A19" s="487" t="str">
        <f>세입예산총괄표3!A67</f>
        <v>기타영업수익</v>
      </c>
      <c r="B19" s="449">
        <f>세입예산총괄표3!B67</f>
        <v>28332000</v>
      </c>
      <c r="C19" s="450">
        <f t="shared" si="26"/>
        <v>3.2521306954327719E-3</v>
      </c>
      <c r="D19" s="449">
        <f>세입예산총괄표3!D67</f>
        <v>42498000</v>
      </c>
      <c r="E19" s="488">
        <f t="shared" si="27"/>
        <v>4.1573574162284853E-3</v>
      </c>
      <c r="F19" s="451">
        <f t="shared" si="28"/>
        <v>-14166000</v>
      </c>
      <c r="G19" s="489">
        <f t="shared" ref="G19:G22" si="30">+F19/D19</f>
        <v>-0.33333333333333331</v>
      </c>
      <c r="H19" s="490" t="str">
        <f>세출예산총괄표4!A81</f>
        <v>자체사업경비</v>
      </c>
      <c r="I19" s="449">
        <f>세출예산총괄표4!B81</f>
        <v>326823000</v>
      </c>
      <c r="J19" s="450">
        <f t="shared" si="3"/>
        <v>3.7514863414987464E-2</v>
      </c>
      <c r="K19" s="449">
        <f>세출예산총괄표4!D81</f>
        <v>326603000</v>
      </c>
      <c r="L19" s="450">
        <f t="shared" ref="L19:L25" si="31">+K19/$K$6</f>
        <v>3.1949865975162875E-2</v>
      </c>
      <c r="M19" s="451">
        <f t="shared" si="1"/>
        <v>220000</v>
      </c>
      <c r="N19" s="452">
        <f t="shared" si="29"/>
        <v>6.7360067115121414E-4</v>
      </c>
      <c r="O19" s="34"/>
      <c r="P19" s="34"/>
      <c r="Q19" s="34"/>
      <c r="R19" s="34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  <c r="CW19" s="101"/>
      <c r="CX19" s="101"/>
      <c r="CY19" s="101"/>
      <c r="CZ19" s="101"/>
      <c r="DA19" s="101"/>
      <c r="DB19" s="101"/>
      <c r="DC19" s="101"/>
      <c r="DD19" s="101"/>
      <c r="DE19" s="101"/>
      <c r="DF19" s="101"/>
      <c r="DG19" s="101"/>
      <c r="DH19" s="101"/>
      <c r="DI19" s="101"/>
      <c r="DJ19" s="101"/>
      <c r="DK19" s="101"/>
      <c r="DL19" s="101"/>
      <c r="DM19" s="101"/>
      <c r="DN19" s="101"/>
      <c r="DO19" s="101"/>
      <c r="DP19" s="101"/>
      <c r="DQ19" s="101"/>
      <c r="DR19" s="101"/>
      <c r="DS19" s="101"/>
      <c r="DT19" s="101"/>
      <c r="DU19" s="101"/>
      <c r="DV19" s="101"/>
      <c r="DW19" s="101"/>
      <c r="DX19" s="101"/>
      <c r="DY19" s="101"/>
      <c r="DZ19" s="101"/>
      <c r="EA19" s="101"/>
      <c r="EB19" s="101"/>
      <c r="EC19" s="101"/>
      <c r="ED19" s="101"/>
      <c r="EE19" s="101"/>
      <c r="EF19" s="101"/>
      <c r="EG19" s="101"/>
      <c r="EH19" s="101"/>
      <c r="EI19" s="101"/>
      <c r="EJ19" s="101"/>
      <c r="EK19" s="101"/>
      <c r="EL19" s="101"/>
      <c r="EM19" s="101"/>
      <c r="EN19" s="101"/>
      <c r="EO19" s="101"/>
      <c r="EP19" s="101"/>
      <c r="EQ19" s="101"/>
      <c r="ER19" s="101"/>
      <c r="ES19" s="101"/>
      <c r="ET19" s="101"/>
      <c r="EU19" s="101"/>
      <c r="EV19" s="101"/>
      <c r="EW19" s="101"/>
      <c r="EX19" s="101"/>
      <c r="EY19" s="101"/>
      <c r="EZ19" s="101"/>
      <c r="FA19" s="101"/>
      <c r="FB19" s="101"/>
      <c r="FC19" s="101"/>
      <c r="FD19" s="101"/>
      <c r="FE19" s="101"/>
      <c r="FF19" s="101"/>
      <c r="FG19" s="101"/>
      <c r="FH19" s="101"/>
      <c r="FI19" s="101"/>
      <c r="FJ19" s="101"/>
      <c r="FK19" s="101"/>
      <c r="FL19" s="101"/>
    </row>
    <row r="20" spans="1:168" s="110" customFormat="1" ht="32.1" customHeight="1">
      <c r="A20" s="487" t="str">
        <f>세입예산총괄표3!A74</f>
        <v>판매수익</v>
      </c>
      <c r="B20" s="449">
        <f>세입예산총괄표3!B74</f>
        <v>268654000</v>
      </c>
      <c r="C20" s="450">
        <f t="shared" si="26"/>
        <v>3.0837848364068755E-2</v>
      </c>
      <c r="D20" s="449">
        <f>세입예산총괄표3!D74</f>
        <v>209117000</v>
      </c>
      <c r="E20" s="488">
        <f t="shared" si="27"/>
        <v>2.0456824104886161E-2</v>
      </c>
      <c r="F20" s="451">
        <f t="shared" si="28"/>
        <v>59537000</v>
      </c>
      <c r="G20" s="489">
        <f t="shared" si="30"/>
        <v>0.28470664747485858</v>
      </c>
      <c r="H20" s="490" t="str">
        <f>세출예산총괄표4!A100</f>
        <v>자체사업비</v>
      </c>
      <c r="I20" s="449">
        <f>세출예산총괄표4!B100</f>
        <v>1604770000</v>
      </c>
      <c r="J20" s="450">
        <f t="shared" si="3"/>
        <v>0.18420590767011327</v>
      </c>
      <c r="K20" s="449">
        <f>세출예산총괄표4!D100</f>
        <v>1270144000</v>
      </c>
      <c r="L20" s="450">
        <f t="shared" si="31"/>
        <v>0.12425155485147801</v>
      </c>
      <c r="M20" s="451">
        <f t="shared" si="1"/>
        <v>334626000</v>
      </c>
      <c r="N20" s="452">
        <f t="shared" si="29"/>
        <v>0.26345516728811852</v>
      </c>
      <c r="O20" s="34"/>
      <c r="P20" s="34"/>
      <c r="Q20" s="34"/>
      <c r="R20" s="34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101"/>
      <c r="AU20" s="101"/>
      <c r="AV20" s="101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1"/>
      <c r="CH20" s="101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  <c r="CW20" s="101"/>
      <c r="CX20" s="101"/>
      <c r="CY20" s="101"/>
      <c r="CZ20" s="101"/>
      <c r="DA20" s="101"/>
      <c r="DB20" s="101"/>
      <c r="DC20" s="101"/>
      <c r="DD20" s="101"/>
      <c r="DE20" s="101"/>
      <c r="DF20" s="101"/>
      <c r="DG20" s="101"/>
      <c r="DH20" s="101"/>
      <c r="DI20" s="101"/>
      <c r="DJ20" s="101"/>
      <c r="DK20" s="101"/>
      <c r="DL20" s="101"/>
      <c r="DM20" s="101"/>
      <c r="DN20" s="101"/>
      <c r="DO20" s="101"/>
      <c r="DP20" s="101"/>
      <c r="DQ20" s="101"/>
      <c r="DR20" s="101"/>
      <c r="DS20" s="101"/>
      <c r="DT20" s="101"/>
      <c r="DU20" s="101"/>
      <c r="DV20" s="101"/>
      <c r="DW20" s="101"/>
      <c r="DX20" s="101"/>
      <c r="DY20" s="101"/>
      <c r="DZ20" s="101"/>
      <c r="EA20" s="101"/>
      <c r="EB20" s="101"/>
      <c r="EC20" s="101"/>
      <c r="ED20" s="101"/>
      <c r="EE20" s="101"/>
      <c r="EF20" s="101"/>
      <c r="EG20" s="101"/>
      <c r="EH20" s="101"/>
      <c r="EI20" s="101"/>
      <c r="EJ20" s="101"/>
      <c r="EK20" s="101"/>
      <c r="EL20" s="101"/>
      <c r="EM20" s="101"/>
      <c r="EN20" s="101"/>
      <c r="EO20" s="101"/>
      <c r="EP20" s="101"/>
      <c r="EQ20" s="101"/>
      <c r="ER20" s="101"/>
      <c r="ES20" s="101"/>
      <c r="ET20" s="101"/>
      <c r="EU20" s="101"/>
      <c r="EV20" s="101"/>
      <c r="EW20" s="101"/>
      <c r="EX20" s="101"/>
      <c r="EY20" s="101"/>
      <c r="EZ20" s="101"/>
      <c r="FA20" s="101"/>
      <c r="FB20" s="101"/>
      <c r="FC20" s="101"/>
      <c r="FD20" s="101"/>
      <c r="FE20" s="101"/>
      <c r="FF20" s="101"/>
      <c r="FG20" s="101"/>
      <c r="FH20" s="101"/>
      <c r="FI20" s="101"/>
      <c r="FJ20" s="101"/>
      <c r="FK20" s="101"/>
      <c r="FL20" s="101"/>
    </row>
    <row r="21" spans="1:168" s="110" customFormat="1" ht="32.1" customHeight="1">
      <c r="A21" s="487" t="str">
        <f>세입예산총괄표3!A35</f>
        <v>재단지원금</v>
      </c>
      <c r="B21" s="449">
        <f>세입예산총괄표3!B35</f>
        <v>0</v>
      </c>
      <c r="C21" s="450">
        <f t="shared" si="26"/>
        <v>0</v>
      </c>
      <c r="D21" s="449">
        <f>세입예산총괄표3!D35</f>
        <v>65391000</v>
      </c>
      <c r="E21" s="488">
        <f t="shared" si="27"/>
        <v>6.3968600594050745E-3</v>
      </c>
      <c r="F21" s="451">
        <f t="shared" si="28"/>
        <v>-65391000</v>
      </c>
      <c r="G21" s="489">
        <f t="shared" si="30"/>
        <v>-1</v>
      </c>
      <c r="H21" s="490" t="str">
        <f>세출예산총괄표4!A93</f>
        <v>자체사업자산취득비</v>
      </c>
      <c r="I21" s="449">
        <f>세출예산총괄표4!B93</f>
        <v>25360000</v>
      </c>
      <c r="J21" s="450">
        <f t="shared" ref="J21" si="32">+I21/$I$6</f>
        <v>2.9109852617596743E-3</v>
      </c>
      <c r="K21" s="449">
        <f>세출예산총괄표4!D93</f>
        <v>34527000</v>
      </c>
      <c r="L21" s="450">
        <f t="shared" si="31"/>
        <v>3.3775961106433457E-3</v>
      </c>
      <c r="M21" s="451">
        <f t="shared" ref="M21" si="33">+I21-K21</f>
        <v>-9167000</v>
      </c>
      <c r="N21" s="452">
        <f t="shared" si="29"/>
        <v>-0.26550236047151504</v>
      </c>
      <c r="O21" s="34"/>
      <c r="P21" s="34"/>
      <c r="Q21" s="34"/>
      <c r="R21" s="34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1"/>
      <c r="AI21" s="101"/>
      <c r="AJ21" s="101"/>
      <c r="AK21" s="101"/>
      <c r="AL21" s="101"/>
      <c r="AM21" s="101"/>
      <c r="AN21" s="101"/>
      <c r="AO21" s="101"/>
      <c r="AP21" s="101"/>
      <c r="AQ21" s="101"/>
      <c r="AR21" s="101"/>
      <c r="AS21" s="101"/>
      <c r="AT21" s="101"/>
      <c r="AU21" s="101"/>
      <c r="AV21" s="101"/>
      <c r="AW21" s="101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101"/>
      <c r="BP21" s="101"/>
      <c r="BQ21" s="101"/>
      <c r="BR21" s="101"/>
      <c r="BS21" s="101"/>
      <c r="BT21" s="101"/>
      <c r="BU21" s="101"/>
      <c r="BV21" s="101"/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1"/>
      <c r="CH21" s="101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  <c r="CS21" s="101"/>
      <c r="CT21" s="101"/>
      <c r="CU21" s="101"/>
      <c r="CV21" s="101"/>
      <c r="CW21" s="101"/>
      <c r="CX21" s="101"/>
      <c r="CY21" s="101"/>
      <c r="CZ21" s="101"/>
      <c r="DA21" s="101"/>
      <c r="DB21" s="101"/>
      <c r="DC21" s="101"/>
      <c r="DD21" s="101"/>
      <c r="DE21" s="101"/>
      <c r="DF21" s="101"/>
      <c r="DG21" s="101"/>
      <c r="DH21" s="101"/>
      <c r="DI21" s="101"/>
      <c r="DJ21" s="101"/>
      <c r="DK21" s="101"/>
      <c r="DL21" s="101"/>
      <c r="DM21" s="101"/>
      <c r="DN21" s="101"/>
      <c r="DO21" s="101"/>
      <c r="DP21" s="101"/>
      <c r="DQ21" s="101"/>
      <c r="DR21" s="101"/>
      <c r="DS21" s="101"/>
      <c r="DT21" s="101"/>
      <c r="DU21" s="101"/>
      <c r="DV21" s="101"/>
      <c r="DW21" s="101"/>
      <c r="DX21" s="101"/>
      <c r="DY21" s="101"/>
      <c r="DZ21" s="101"/>
      <c r="EA21" s="101"/>
      <c r="EB21" s="101"/>
      <c r="EC21" s="101"/>
      <c r="ED21" s="101"/>
      <c r="EE21" s="101"/>
      <c r="EF21" s="101"/>
      <c r="EG21" s="101"/>
      <c r="EH21" s="101"/>
      <c r="EI21" s="101"/>
      <c r="EJ21" s="101"/>
      <c r="EK21" s="101"/>
      <c r="EL21" s="101"/>
      <c r="EM21" s="101"/>
      <c r="EN21" s="101"/>
      <c r="EO21" s="101"/>
      <c r="EP21" s="101"/>
      <c r="EQ21" s="101"/>
      <c r="ER21" s="101"/>
      <c r="ES21" s="101"/>
      <c r="ET21" s="101"/>
      <c r="EU21" s="101"/>
      <c r="EV21" s="101"/>
      <c r="EW21" s="101"/>
      <c r="EX21" s="101"/>
      <c r="EY21" s="101"/>
      <c r="EZ21" s="101"/>
      <c r="FA21" s="101"/>
      <c r="FB21" s="101"/>
      <c r="FC21" s="101"/>
      <c r="FD21" s="101"/>
      <c r="FE21" s="101"/>
      <c r="FF21" s="101"/>
      <c r="FG21" s="101"/>
      <c r="FH21" s="101"/>
      <c r="FI21" s="101"/>
      <c r="FJ21" s="101"/>
      <c r="FK21" s="101"/>
      <c r="FL21" s="101"/>
    </row>
    <row r="22" spans="1:168" s="110" customFormat="1" ht="32.1" customHeight="1">
      <c r="A22" s="487" t="str">
        <f>세입예산총괄표3!A81</f>
        <v>이월금</v>
      </c>
      <c r="B22" s="449">
        <f>세입예산총괄표3!B81</f>
        <v>135210000</v>
      </c>
      <c r="C22" s="450">
        <f t="shared" si="26"/>
        <v>1.5520280648364573E-2</v>
      </c>
      <c r="D22" s="449">
        <f>세입예산총괄표3!D81</f>
        <v>138224000</v>
      </c>
      <c r="E22" s="488">
        <f t="shared" ref="E22" si="34">+D22/$D$6</f>
        <v>1.3521732116823525E-2</v>
      </c>
      <c r="F22" s="451">
        <f t="shared" si="28"/>
        <v>-3014000</v>
      </c>
      <c r="G22" s="489">
        <f t="shared" si="30"/>
        <v>-2.1805185785391829E-2</v>
      </c>
      <c r="H22" s="490" t="s">
        <v>796</v>
      </c>
      <c r="I22" s="449">
        <f>세출예산총괄표4!B110</f>
        <v>0</v>
      </c>
      <c r="J22" s="450">
        <f t="shared" si="3"/>
        <v>0</v>
      </c>
      <c r="K22" s="449">
        <f>세출예산총괄표4!D110</f>
        <v>65391000</v>
      </c>
      <c r="L22" s="450">
        <f t="shared" si="31"/>
        <v>6.3968600594050745E-3</v>
      </c>
      <c r="M22" s="451">
        <f t="shared" ref="M22" si="35">+I22-K22</f>
        <v>-65391000</v>
      </c>
      <c r="N22" s="452">
        <f t="shared" si="29"/>
        <v>-1</v>
      </c>
      <c r="O22" s="34"/>
      <c r="P22" s="34"/>
      <c r="Q22" s="34"/>
      <c r="R22" s="34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  <c r="CS22" s="101"/>
      <c r="CT22" s="101"/>
      <c r="CU22" s="101"/>
      <c r="CV22" s="101"/>
      <c r="CW22" s="101"/>
      <c r="CX22" s="101"/>
      <c r="CY22" s="101"/>
      <c r="CZ22" s="101"/>
      <c r="DA22" s="101"/>
      <c r="DB22" s="101"/>
      <c r="DC22" s="101"/>
      <c r="DD22" s="101"/>
      <c r="DE22" s="101"/>
      <c r="DF22" s="101"/>
      <c r="DG22" s="101"/>
      <c r="DH22" s="101"/>
      <c r="DI22" s="101"/>
      <c r="DJ22" s="101"/>
      <c r="DK22" s="101"/>
      <c r="DL22" s="101"/>
      <c r="DM22" s="101"/>
      <c r="DN22" s="101"/>
      <c r="DO22" s="101"/>
      <c r="DP22" s="101"/>
      <c r="DQ22" s="101"/>
      <c r="DR22" s="101"/>
      <c r="DS22" s="101"/>
      <c r="DT22" s="101"/>
      <c r="DU22" s="101"/>
      <c r="DV22" s="101"/>
      <c r="DW22" s="101"/>
      <c r="DX22" s="101"/>
      <c r="DY22" s="101"/>
      <c r="DZ22" s="101"/>
      <c r="EA22" s="101"/>
      <c r="EB22" s="101"/>
      <c r="EC22" s="101"/>
      <c r="ED22" s="101"/>
      <c r="EE22" s="101"/>
      <c r="EF22" s="101"/>
      <c r="EG22" s="101"/>
      <c r="EH22" s="101"/>
      <c r="EI22" s="101"/>
      <c r="EJ22" s="101"/>
      <c r="EK22" s="101"/>
      <c r="EL22" s="101"/>
      <c r="EM22" s="101"/>
      <c r="EN22" s="101"/>
      <c r="EO22" s="101"/>
      <c r="EP22" s="101"/>
      <c r="EQ22" s="101"/>
      <c r="ER22" s="101"/>
      <c r="ES22" s="101"/>
      <c r="ET22" s="101"/>
      <c r="EU22" s="101"/>
      <c r="EV22" s="101"/>
      <c r="EW22" s="101"/>
      <c r="EX22" s="101"/>
      <c r="EY22" s="101"/>
      <c r="EZ22" s="101"/>
      <c r="FA22" s="101"/>
      <c r="FB22" s="101"/>
      <c r="FC22" s="101"/>
      <c r="FD22" s="101"/>
      <c r="FE22" s="101"/>
      <c r="FF22" s="101"/>
      <c r="FG22" s="101"/>
      <c r="FH22" s="101"/>
      <c r="FI22" s="101"/>
      <c r="FJ22" s="101"/>
      <c r="FK22" s="101"/>
      <c r="FL22" s="101"/>
    </row>
    <row r="23" spans="1:168" s="110" customFormat="1" ht="32.1" customHeight="1">
      <c r="A23" s="487"/>
      <c r="B23" s="449"/>
      <c r="C23" s="450"/>
      <c r="D23" s="449"/>
      <c r="E23" s="488"/>
      <c r="F23" s="451"/>
      <c r="G23" s="489"/>
      <c r="H23" s="490" t="str">
        <f>세출예산총괄표4!A117</f>
        <v>법인전입금</v>
      </c>
      <c r="I23" s="449">
        <f>세출예산총괄표4!B117</f>
        <v>50000000</v>
      </c>
      <c r="J23" s="450">
        <f t="shared" ref="J23" si="36">+I23/$I$6</f>
        <v>5.7393242542580335E-3</v>
      </c>
      <c r="K23" s="449">
        <f>세출예산총괄표4!D117</f>
        <v>0</v>
      </c>
      <c r="L23" s="450">
        <f t="shared" si="31"/>
        <v>0</v>
      </c>
      <c r="M23" s="451">
        <f t="shared" ref="M23" si="37">+I23-K23</f>
        <v>50000000</v>
      </c>
      <c r="N23" s="452"/>
      <c r="O23" s="34"/>
      <c r="P23" s="34"/>
      <c r="Q23" s="34"/>
      <c r="R23" s="34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101"/>
      <c r="AU23" s="101"/>
      <c r="AV23" s="101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101"/>
      <c r="BP23" s="101"/>
      <c r="BQ23" s="101"/>
      <c r="BR23" s="101"/>
      <c r="BS23" s="101"/>
      <c r="BT23" s="101"/>
      <c r="BU23" s="101"/>
      <c r="BV23" s="101"/>
      <c r="BW23" s="101"/>
      <c r="BX23" s="101"/>
      <c r="BY23" s="101"/>
      <c r="BZ23" s="101"/>
      <c r="CA23" s="101"/>
      <c r="CB23" s="101"/>
      <c r="CC23" s="101"/>
      <c r="CD23" s="101"/>
      <c r="CE23" s="101"/>
      <c r="CF23" s="101"/>
      <c r="CG23" s="101"/>
      <c r="CH23" s="101"/>
      <c r="CI23" s="101"/>
      <c r="CJ23" s="101"/>
      <c r="CK23" s="101"/>
      <c r="CL23" s="101"/>
      <c r="CM23" s="101"/>
      <c r="CN23" s="101"/>
      <c r="CO23" s="101"/>
      <c r="CP23" s="101"/>
      <c r="CQ23" s="101"/>
      <c r="CR23" s="101"/>
      <c r="CS23" s="101"/>
      <c r="CT23" s="101"/>
      <c r="CU23" s="101"/>
      <c r="CV23" s="101"/>
      <c r="CW23" s="101"/>
      <c r="CX23" s="101"/>
      <c r="CY23" s="101"/>
      <c r="CZ23" s="101"/>
      <c r="DA23" s="101"/>
      <c r="DB23" s="101"/>
      <c r="DC23" s="101"/>
      <c r="DD23" s="101"/>
      <c r="DE23" s="101"/>
      <c r="DF23" s="101"/>
      <c r="DG23" s="101"/>
      <c r="DH23" s="101"/>
      <c r="DI23" s="101"/>
      <c r="DJ23" s="101"/>
      <c r="DK23" s="101"/>
      <c r="DL23" s="101"/>
      <c r="DM23" s="101"/>
      <c r="DN23" s="101"/>
      <c r="DO23" s="101"/>
      <c r="DP23" s="101"/>
      <c r="DQ23" s="101"/>
      <c r="DR23" s="101"/>
      <c r="DS23" s="101"/>
      <c r="DT23" s="101"/>
      <c r="DU23" s="101"/>
      <c r="DV23" s="101"/>
      <c r="DW23" s="101"/>
      <c r="DX23" s="101"/>
      <c r="DY23" s="101"/>
      <c r="DZ23" s="101"/>
      <c r="EA23" s="101"/>
      <c r="EB23" s="101"/>
      <c r="EC23" s="101"/>
      <c r="ED23" s="101"/>
      <c r="EE23" s="101"/>
      <c r="EF23" s="101"/>
      <c r="EG23" s="101"/>
      <c r="EH23" s="101"/>
      <c r="EI23" s="101"/>
      <c r="EJ23" s="101"/>
      <c r="EK23" s="101"/>
      <c r="EL23" s="101"/>
      <c r="EM23" s="101"/>
      <c r="EN23" s="101"/>
      <c r="EO23" s="101"/>
      <c r="EP23" s="101"/>
      <c r="EQ23" s="101"/>
      <c r="ER23" s="101"/>
      <c r="ES23" s="101"/>
      <c r="ET23" s="101"/>
      <c r="EU23" s="101"/>
      <c r="EV23" s="101"/>
      <c r="EW23" s="101"/>
      <c r="EX23" s="101"/>
      <c r="EY23" s="101"/>
      <c r="EZ23" s="101"/>
      <c r="FA23" s="101"/>
      <c r="FB23" s="101"/>
      <c r="FC23" s="101"/>
      <c r="FD23" s="101"/>
      <c r="FE23" s="101"/>
      <c r="FF23" s="101"/>
      <c r="FG23" s="101"/>
      <c r="FH23" s="101"/>
      <c r="FI23" s="101"/>
      <c r="FJ23" s="101"/>
      <c r="FK23" s="101"/>
      <c r="FL23" s="101"/>
    </row>
    <row r="24" spans="1:168" s="110" customFormat="1" ht="32.1" customHeight="1">
      <c r="A24" s="487"/>
      <c r="B24" s="449"/>
      <c r="C24" s="450"/>
      <c r="D24" s="449"/>
      <c r="E24" s="488"/>
      <c r="F24" s="451"/>
      <c r="G24" s="489"/>
      <c r="H24" s="490" t="str">
        <f>세출예산총괄표4!A119</f>
        <v>이자반환금(과년도)</v>
      </c>
      <c r="I24" s="449">
        <f>세출예산총괄표4!B119</f>
        <v>2321000</v>
      </c>
      <c r="J24" s="450">
        <f t="shared" si="3"/>
        <v>2.6641943188265789E-4</v>
      </c>
      <c r="K24" s="449">
        <f>세출예산총괄표4!D119</f>
        <v>2164000</v>
      </c>
      <c r="L24" s="450">
        <f t="shared" si="31"/>
        <v>2.1169281963194601E-4</v>
      </c>
      <c r="M24" s="451">
        <f t="shared" si="1"/>
        <v>157000</v>
      </c>
      <c r="N24" s="452">
        <f t="shared" si="29"/>
        <v>7.2550831792975973E-2</v>
      </c>
      <c r="O24" s="34"/>
      <c r="P24" s="34"/>
      <c r="Q24" s="34"/>
      <c r="R24" s="34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/>
      <c r="CS24" s="101"/>
      <c r="CT24" s="101"/>
      <c r="CU24" s="101"/>
      <c r="CV24" s="101"/>
      <c r="CW24" s="101"/>
      <c r="CX24" s="101"/>
      <c r="CY24" s="101"/>
      <c r="CZ24" s="101"/>
      <c r="DA24" s="101"/>
      <c r="DB24" s="101"/>
      <c r="DC24" s="101"/>
      <c r="DD24" s="101"/>
      <c r="DE24" s="101"/>
      <c r="DF24" s="101"/>
      <c r="DG24" s="101"/>
      <c r="DH24" s="101"/>
      <c r="DI24" s="101"/>
      <c r="DJ24" s="101"/>
      <c r="DK24" s="101"/>
      <c r="DL24" s="101"/>
      <c r="DM24" s="101"/>
      <c r="DN24" s="101"/>
      <c r="DO24" s="101"/>
      <c r="DP24" s="101"/>
      <c r="DQ24" s="101"/>
      <c r="DR24" s="101"/>
      <c r="DS24" s="101"/>
      <c r="DT24" s="101"/>
      <c r="DU24" s="101"/>
      <c r="DV24" s="101"/>
      <c r="DW24" s="101"/>
      <c r="DX24" s="101"/>
      <c r="DY24" s="101"/>
      <c r="DZ24" s="101"/>
      <c r="EA24" s="101"/>
      <c r="EB24" s="101"/>
      <c r="EC24" s="101"/>
      <c r="ED24" s="101"/>
      <c r="EE24" s="101"/>
      <c r="EF24" s="101"/>
      <c r="EG24" s="101"/>
      <c r="EH24" s="101"/>
      <c r="EI24" s="101"/>
      <c r="EJ24" s="101"/>
      <c r="EK24" s="101"/>
      <c r="EL24" s="101"/>
      <c r="EM24" s="101"/>
      <c r="EN24" s="101"/>
      <c r="EO24" s="101"/>
      <c r="EP24" s="101"/>
      <c r="EQ24" s="101"/>
      <c r="ER24" s="101"/>
      <c r="ES24" s="101"/>
      <c r="ET24" s="101"/>
      <c r="EU24" s="101"/>
      <c r="EV24" s="101"/>
      <c r="EW24" s="101"/>
      <c r="EX24" s="101"/>
      <c r="EY24" s="101"/>
      <c r="EZ24" s="101"/>
      <c r="FA24" s="101"/>
      <c r="FB24" s="101"/>
      <c r="FC24" s="101"/>
      <c r="FD24" s="101"/>
      <c r="FE24" s="101"/>
      <c r="FF24" s="101"/>
      <c r="FG24" s="101"/>
      <c r="FH24" s="101"/>
      <c r="FI24" s="101"/>
      <c r="FJ24" s="101"/>
      <c r="FK24" s="101"/>
      <c r="FL24" s="101"/>
    </row>
    <row r="25" spans="1:168" s="110" customFormat="1" ht="32.1" customHeight="1" thickBot="1">
      <c r="A25" s="491"/>
      <c r="B25" s="459"/>
      <c r="C25" s="460"/>
      <c r="D25" s="459"/>
      <c r="E25" s="492"/>
      <c r="F25" s="461"/>
      <c r="G25" s="493"/>
      <c r="H25" s="494" t="str">
        <f>세출예산총괄표4!A132</f>
        <v>예비비(차기년도이월금)</v>
      </c>
      <c r="I25" s="459">
        <f>세출예산총괄표4!B132</f>
        <v>85166000</v>
      </c>
      <c r="J25" s="460">
        <f t="shared" si="3"/>
        <v>9.7759057887627926E-3</v>
      </c>
      <c r="K25" s="459">
        <f>세출예산총괄표4!D132</f>
        <v>223556000</v>
      </c>
      <c r="L25" s="460">
        <f t="shared" si="31"/>
        <v>2.1869316074694695E-2</v>
      </c>
      <c r="M25" s="461">
        <f t="shared" si="1"/>
        <v>-138390000</v>
      </c>
      <c r="N25" s="465">
        <f t="shared" si="29"/>
        <v>-0.61903952477231661</v>
      </c>
      <c r="O25" s="34"/>
      <c r="P25" s="34"/>
      <c r="Q25" s="34"/>
      <c r="R25" s="34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101"/>
      <c r="AY25" s="101"/>
      <c r="AZ25" s="101"/>
      <c r="BA25" s="101"/>
      <c r="BB25" s="101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  <c r="BM25" s="101"/>
      <c r="BN25" s="101"/>
      <c r="BO25" s="101"/>
      <c r="BP25" s="101"/>
      <c r="BQ25" s="101"/>
      <c r="BR25" s="101"/>
      <c r="BS25" s="101"/>
      <c r="BT25" s="101"/>
      <c r="BU25" s="101"/>
      <c r="BV25" s="101"/>
      <c r="BW25" s="101"/>
      <c r="BX25" s="101"/>
      <c r="BY25" s="101"/>
      <c r="BZ25" s="101"/>
      <c r="CA25" s="101"/>
      <c r="CB25" s="101"/>
      <c r="CC25" s="101"/>
      <c r="CD25" s="101"/>
      <c r="CE25" s="101"/>
      <c r="CF25" s="101"/>
      <c r="CG25" s="101"/>
      <c r="CH25" s="101"/>
      <c r="CI25" s="101"/>
      <c r="CJ25" s="101"/>
      <c r="CK25" s="101"/>
      <c r="CL25" s="101"/>
      <c r="CM25" s="101"/>
      <c r="CN25" s="101"/>
      <c r="CO25" s="101"/>
      <c r="CP25" s="101"/>
      <c r="CQ25" s="101"/>
      <c r="CR25" s="101"/>
      <c r="CS25" s="101"/>
      <c r="CT25" s="101"/>
      <c r="CU25" s="101"/>
      <c r="CV25" s="101"/>
      <c r="CW25" s="101"/>
      <c r="CX25" s="101"/>
      <c r="CY25" s="101"/>
      <c r="CZ25" s="101"/>
      <c r="DA25" s="101"/>
      <c r="DB25" s="101"/>
      <c r="DC25" s="101"/>
      <c r="DD25" s="101"/>
      <c r="DE25" s="101"/>
      <c r="DF25" s="101"/>
      <c r="DG25" s="101"/>
      <c r="DH25" s="101"/>
      <c r="DI25" s="101"/>
      <c r="DJ25" s="101"/>
      <c r="DK25" s="101"/>
      <c r="DL25" s="101"/>
      <c r="DM25" s="101"/>
      <c r="DN25" s="101"/>
      <c r="DO25" s="101"/>
      <c r="DP25" s="101"/>
      <c r="DQ25" s="101"/>
      <c r="DR25" s="101"/>
      <c r="DS25" s="101"/>
      <c r="DT25" s="101"/>
      <c r="DU25" s="101"/>
      <c r="DV25" s="101"/>
      <c r="DW25" s="101"/>
      <c r="DX25" s="101"/>
      <c r="DY25" s="101"/>
      <c r="DZ25" s="101"/>
      <c r="EA25" s="101"/>
      <c r="EB25" s="101"/>
      <c r="EC25" s="101"/>
      <c r="ED25" s="101"/>
      <c r="EE25" s="101"/>
      <c r="EF25" s="101"/>
      <c r="EG25" s="101"/>
      <c r="EH25" s="101"/>
      <c r="EI25" s="101"/>
      <c r="EJ25" s="101"/>
      <c r="EK25" s="101"/>
      <c r="EL25" s="101"/>
      <c r="EM25" s="101"/>
      <c r="EN25" s="101"/>
      <c r="EO25" s="101"/>
      <c r="EP25" s="101"/>
      <c r="EQ25" s="101"/>
      <c r="ER25" s="101"/>
      <c r="ES25" s="101"/>
      <c r="ET25" s="101"/>
      <c r="EU25" s="101"/>
      <c r="EV25" s="101"/>
      <c r="EW25" s="101"/>
      <c r="EX25" s="101"/>
      <c r="EY25" s="101"/>
      <c r="EZ25" s="101"/>
      <c r="FA25" s="101"/>
      <c r="FB25" s="101"/>
      <c r="FC25" s="101"/>
      <c r="FD25" s="101"/>
      <c r="FE25" s="101"/>
      <c r="FF25" s="101"/>
      <c r="FG25" s="101"/>
      <c r="FH25" s="101"/>
      <c r="FI25" s="101"/>
      <c r="FJ25" s="101"/>
      <c r="FK25" s="101"/>
      <c r="FL25" s="101"/>
    </row>
    <row r="26" spans="1:168" s="116" customFormat="1" ht="16.5">
      <c r="A26" s="113"/>
      <c r="B26" s="114"/>
      <c r="C26" s="115"/>
      <c r="D26" s="114"/>
      <c r="E26" s="115"/>
      <c r="F26" s="190"/>
      <c r="G26" s="194"/>
      <c r="I26" s="114"/>
      <c r="J26" s="117"/>
      <c r="K26" s="118"/>
      <c r="M26" s="187"/>
      <c r="N26" s="194"/>
      <c r="O26" s="113"/>
      <c r="P26" s="113"/>
      <c r="Q26" s="113"/>
      <c r="R26" s="113"/>
    </row>
    <row r="27" spans="1:168" s="116" customFormat="1" ht="15.75">
      <c r="A27" s="113"/>
      <c r="B27" s="119"/>
      <c r="C27" s="119"/>
      <c r="D27" s="119"/>
      <c r="E27" s="115"/>
      <c r="F27" s="190"/>
      <c r="G27" s="194"/>
      <c r="I27" s="114"/>
      <c r="J27" s="114"/>
      <c r="K27" s="118"/>
      <c r="M27" s="187"/>
      <c r="N27" s="194"/>
      <c r="O27" s="113"/>
      <c r="P27" s="113"/>
      <c r="Q27" s="113"/>
      <c r="R27" s="113"/>
    </row>
    <row r="28" spans="1:168" s="116" customFormat="1" ht="15.75">
      <c r="A28" s="113"/>
      <c r="B28" s="120"/>
      <c r="C28" s="115"/>
      <c r="D28" s="114"/>
      <c r="E28" s="115"/>
      <c r="F28" s="190"/>
      <c r="G28" s="194"/>
      <c r="I28" s="114"/>
      <c r="J28" s="114"/>
      <c r="K28" s="118"/>
      <c r="M28" s="187"/>
      <c r="N28" s="194"/>
      <c r="O28" s="113"/>
      <c r="P28" s="113"/>
      <c r="Q28" s="113"/>
      <c r="R28" s="113"/>
    </row>
    <row r="29" spans="1:168" s="116" customFormat="1" ht="15.75">
      <c r="A29" s="113"/>
      <c r="B29" s="114"/>
      <c r="C29" s="115"/>
      <c r="D29" s="114"/>
      <c r="E29" s="115"/>
      <c r="F29" s="190"/>
      <c r="G29" s="194"/>
      <c r="I29" s="114"/>
      <c r="J29" s="114"/>
      <c r="K29" s="118"/>
      <c r="M29" s="187"/>
      <c r="N29" s="194"/>
      <c r="O29" s="113"/>
      <c r="P29" s="113"/>
      <c r="Q29" s="113"/>
      <c r="R29" s="113"/>
    </row>
    <row r="30" spans="1:168" s="116" customFormat="1" ht="15.75">
      <c r="B30" s="119"/>
      <c r="C30" s="119"/>
      <c r="D30" s="119"/>
      <c r="E30" s="113"/>
      <c r="F30" s="191"/>
      <c r="G30" s="195"/>
      <c r="I30" s="114"/>
      <c r="K30" s="114"/>
      <c r="M30" s="187"/>
      <c r="N30" s="194"/>
      <c r="O30" s="113"/>
      <c r="P30" s="113"/>
      <c r="Q30" s="113"/>
      <c r="R30" s="113"/>
    </row>
    <row r="31" spans="1:168" s="116" customFormat="1" ht="15.75">
      <c r="B31" s="114"/>
      <c r="D31" s="121"/>
      <c r="E31" s="113"/>
      <c r="F31" s="191"/>
      <c r="G31" s="195"/>
      <c r="I31" s="114"/>
      <c r="K31" s="114"/>
      <c r="M31" s="187"/>
      <c r="N31" s="194"/>
      <c r="O31" s="113"/>
      <c r="P31" s="113"/>
      <c r="Q31" s="113"/>
      <c r="R31" s="113"/>
    </row>
    <row r="32" spans="1:168" s="116" customFormat="1" ht="15.75">
      <c r="B32" s="114"/>
      <c r="D32" s="121"/>
      <c r="E32" s="113"/>
      <c r="F32" s="191"/>
      <c r="G32" s="195"/>
      <c r="I32" s="114"/>
      <c r="K32" s="114"/>
      <c r="M32" s="187"/>
      <c r="N32" s="194"/>
      <c r="O32" s="113"/>
      <c r="P32" s="113"/>
      <c r="Q32" s="113"/>
      <c r="R32" s="113"/>
    </row>
    <row r="33" spans="1:18" s="116" customFormat="1" ht="15.75">
      <c r="B33" s="114"/>
      <c r="D33" s="121"/>
      <c r="E33" s="113"/>
      <c r="F33" s="191"/>
      <c r="G33" s="195"/>
      <c r="I33" s="114"/>
      <c r="K33" s="114"/>
      <c r="M33" s="187"/>
      <c r="N33" s="194"/>
      <c r="O33" s="113"/>
      <c r="P33" s="113"/>
      <c r="Q33" s="113"/>
      <c r="R33" s="113"/>
    </row>
    <row r="34" spans="1:18" s="116" customFormat="1" ht="15.75">
      <c r="B34" s="114"/>
      <c r="D34" s="121"/>
      <c r="E34" s="113"/>
      <c r="F34" s="191"/>
      <c r="G34" s="195"/>
      <c r="I34" s="114"/>
      <c r="K34" s="114"/>
      <c r="M34" s="187"/>
      <c r="N34" s="194"/>
      <c r="O34" s="113"/>
      <c r="P34" s="113"/>
      <c r="Q34" s="113"/>
      <c r="R34" s="113"/>
    </row>
    <row r="35" spans="1:18" s="116" customFormat="1" ht="15.75">
      <c r="B35" s="114"/>
      <c r="D35" s="121"/>
      <c r="E35" s="113"/>
      <c r="F35" s="191"/>
      <c r="G35" s="195"/>
      <c r="I35" s="114"/>
      <c r="K35" s="114"/>
      <c r="M35" s="187"/>
      <c r="N35" s="194"/>
      <c r="O35" s="113"/>
      <c r="P35" s="113"/>
      <c r="Q35" s="113"/>
      <c r="R35" s="113"/>
    </row>
    <row r="36" spans="1:18" s="116" customFormat="1" ht="15.75">
      <c r="B36" s="114"/>
      <c r="D36" s="121"/>
      <c r="E36" s="113"/>
      <c r="F36" s="191"/>
      <c r="G36" s="195"/>
      <c r="I36" s="114"/>
      <c r="K36" s="114"/>
      <c r="M36" s="187"/>
      <c r="N36" s="194"/>
      <c r="O36" s="113"/>
      <c r="P36" s="113"/>
      <c r="Q36" s="113"/>
      <c r="R36" s="113"/>
    </row>
    <row r="37" spans="1:18" s="116" customFormat="1" ht="15.75">
      <c r="A37" s="113"/>
      <c r="B37" s="114"/>
      <c r="C37" s="115"/>
      <c r="D37" s="114"/>
      <c r="E37" s="115"/>
      <c r="F37" s="190"/>
      <c r="G37" s="194"/>
      <c r="I37" s="114"/>
      <c r="J37" s="114"/>
      <c r="K37" s="118"/>
      <c r="M37" s="187"/>
      <c r="N37" s="194"/>
      <c r="O37" s="113"/>
      <c r="P37" s="113"/>
      <c r="Q37" s="113"/>
      <c r="R37" s="113"/>
    </row>
    <row r="38" spans="1:18" s="116" customFormat="1" ht="15.75">
      <c r="A38" s="113"/>
      <c r="B38" s="114"/>
      <c r="C38" s="115"/>
      <c r="D38" s="114"/>
      <c r="E38" s="115"/>
      <c r="F38" s="190"/>
      <c r="G38" s="194"/>
      <c r="I38" s="114"/>
      <c r="J38" s="114"/>
      <c r="K38" s="118"/>
      <c r="M38" s="187"/>
      <c r="N38" s="194"/>
      <c r="O38" s="113"/>
      <c r="P38" s="113"/>
      <c r="Q38" s="113"/>
      <c r="R38" s="113"/>
    </row>
    <row r="39" spans="1:18" s="116" customFormat="1" ht="15.75">
      <c r="A39" s="113"/>
      <c r="B39" s="114"/>
      <c r="C39" s="115"/>
      <c r="D39" s="114"/>
      <c r="E39" s="115"/>
      <c r="F39" s="190"/>
      <c r="G39" s="194"/>
      <c r="I39" s="114"/>
      <c r="J39" s="114"/>
      <c r="K39" s="118"/>
      <c r="M39" s="187"/>
      <c r="N39" s="194"/>
      <c r="O39" s="113"/>
      <c r="P39" s="113"/>
      <c r="Q39" s="113"/>
      <c r="R39" s="113"/>
    </row>
    <row r="40" spans="1:18" s="116" customFormat="1" ht="15.75">
      <c r="A40" s="113"/>
      <c r="B40" s="114"/>
      <c r="C40" s="115"/>
      <c r="D40" s="114"/>
      <c r="E40" s="115"/>
      <c r="F40" s="190"/>
      <c r="G40" s="194"/>
      <c r="I40" s="114"/>
      <c r="J40" s="114"/>
      <c r="K40" s="118"/>
      <c r="M40" s="187"/>
      <c r="N40" s="194"/>
      <c r="O40" s="113"/>
      <c r="P40" s="113"/>
      <c r="Q40" s="113"/>
      <c r="R40" s="113"/>
    </row>
    <row r="41" spans="1:18" s="116" customFormat="1" ht="15.75">
      <c r="A41" s="113"/>
      <c r="B41" s="114"/>
      <c r="C41" s="115"/>
      <c r="D41" s="114"/>
      <c r="E41" s="115"/>
      <c r="F41" s="190"/>
      <c r="G41" s="194"/>
      <c r="I41" s="114"/>
      <c r="J41" s="114"/>
      <c r="K41" s="118"/>
      <c r="M41" s="187"/>
      <c r="N41" s="194"/>
      <c r="O41" s="113"/>
      <c r="P41" s="113"/>
      <c r="Q41" s="113"/>
      <c r="R41" s="113"/>
    </row>
    <row r="42" spans="1:18" s="116" customFormat="1" ht="15.75">
      <c r="A42" s="113"/>
      <c r="B42" s="114"/>
      <c r="C42" s="115"/>
      <c r="D42" s="114"/>
      <c r="E42" s="115"/>
      <c r="F42" s="190"/>
      <c r="G42" s="194"/>
      <c r="I42" s="114"/>
      <c r="J42" s="114"/>
      <c r="K42" s="118"/>
      <c r="M42" s="187"/>
      <c r="N42" s="194"/>
      <c r="O42" s="113"/>
      <c r="P42" s="113"/>
      <c r="Q42" s="113"/>
      <c r="R42" s="113"/>
    </row>
    <row r="43" spans="1:18" s="116" customFormat="1" ht="15.75">
      <c r="A43" s="113"/>
      <c r="B43" s="114"/>
      <c r="C43" s="115"/>
      <c r="D43" s="114"/>
      <c r="E43" s="115"/>
      <c r="F43" s="190"/>
      <c r="G43" s="194"/>
      <c r="I43" s="114"/>
      <c r="J43" s="114"/>
      <c r="K43" s="118"/>
      <c r="M43" s="187"/>
      <c r="N43" s="194"/>
      <c r="O43" s="113"/>
      <c r="P43" s="113"/>
      <c r="Q43" s="113"/>
      <c r="R43" s="113"/>
    </row>
    <row r="44" spans="1:18" s="116" customFormat="1" ht="15.75">
      <c r="A44" s="113"/>
      <c r="B44" s="114"/>
      <c r="C44" s="115"/>
      <c r="D44" s="114"/>
      <c r="E44" s="115"/>
      <c r="F44" s="190"/>
      <c r="G44" s="194"/>
      <c r="I44" s="114"/>
      <c r="J44" s="114"/>
      <c r="K44" s="118"/>
      <c r="M44" s="187"/>
      <c r="N44" s="194"/>
      <c r="O44" s="113"/>
      <c r="P44" s="113"/>
      <c r="Q44" s="113"/>
      <c r="R44" s="113"/>
    </row>
    <row r="45" spans="1:18" s="116" customFormat="1" ht="15.75">
      <c r="A45" s="113"/>
      <c r="B45" s="114"/>
      <c r="C45" s="115"/>
      <c r="D45" s="114"/>
      <c r="E45" s="115"/>
      <c r="F45" s="190"/>
      <c r="G45" s="194"/>
      <c r="I45" s="114"/>
      <c r="J45" s="114"/>
      <c r="K45" s="118"/>
      <c r="M45" s="187"/>
      <c r="N45" s="194"/>
      <c r="O45" s="113"/>
      <c r="P45" s="113"/>
      <c r="Q45" s="113"/>
      <c r="R45" s="113"/>
    </row>
    <row r="46" spans="1:18" s="116" customFormat="1" ht="15.75">
      <c r="A46" s="113"/>
      <c r="B46" s="114"/>
      <c r="C46" s="115"/>
      <c r="D46" s="114"/>
      <c r="E46" s="115"/>
      <c r="F46" s="190"/>
      <c r="G46" s="194"/>
      <c r="I46" s="114"/>
      <c r="J46" s="114"/>
      <c r="K46" s="118"/>
      <c r="M46" s="187"/>
      <c r="N46" s="194"/>
      <c r="O46" s="113"/>
      <c r="P46" s="113"/>
      <c r="Q46" s="113"/>
      <c r="R46" s="113"/>
    </row>
    <row r="47" spans="1:18" s="116" customFormat="1" ht="15.75">
      <c r="A47" s="113"/>
      <c r="B47" s="114"/>
      <c r="C47" s="115"/>
      <c r="D47" s="114"/>
      <c r="E47" s="115"/>
      <c r="F47" s="190"/>
      <c r="G47" s="194"/>
      <c r="I47" s="114"/>
      <c r="J47" s="114"/>
      <c r="K47" s="118"/>
      <c r="M47" s="187"/>
      <c r="N47" s="194"/>
      <c r="O47" s="113"/>
      <c r="P47" s="113"/>
      <c r="Q47" s="113"/>
      <c r="R47" s="113"/>
    </row>
    <row r="48" spans="1:18" s="116" customFormat="1" ht="15.75">
      <c r="A48" s="113"/>
      <c r="B48" s="114"/>
      <c r="C48" s="115"/>
      <c r="D48" s="114"/>
      <c r="E48" s="115"/>
      <c r="F48" s="190"/>
      <c r="G48" s="194"/>
      <c r="I48" s="114"/>
      <c r="J48" s="114"/>
      <c r="K48" s="118"/>
      <c r="M48" s="187"/>
      <c r="N48" s="194"/>
      <c r="O48" s="113"/>
      <c r="P48" s="113"/>
      <c r="Q48" s="113"/>
      <c r="R48" s="113"/>
    </row>
    <row r="49" spans="1:18" s="116" customFormat="1" ht="15.75">
      <c r="A49" s="113"/>
      <c r="B49" s="114"/>
      <c r="C49" s="115"/>
      <c r="D49" s="114"/>
      <c r="E49" s="115"/>
      <c r="F49" s="190"/>
      <c r="G49" s="194"/>
      <c r="I49" s="114"/>
      <c r="J49" s="114"/>
      <c r="K49" s="118"/>
      <c r="M49" s="187"/>
      <c r="N49" s="194"/>
      <c r="O49" s="113"/>
      <c r="P49" s="113"/>
      <c r="Q49" s="113"/>
      <c r="R49" s="113"/>
    </row>
    <row r="50" spans="1:18" s="116" customFormat="1" ht="15.75">
      <c r="A50" s="113"/>
      <c r="B50" s="114"/>
      <c r="C50" s="115"/>
      <c r="D50" s="114"/>
      <c r="E50" s="115"/>
      <c r="F50" s="190"/>
      <c r="G50" s="194"/>
      <c r="I50" s="114"/>
      <c r="J50" s="114"/>
      <c r="K50" s="118"/>
      <c r="M50" s="187"/>
      <c r="N50" s="194"/>
      <c r="O50" s="113"/>
      <c r="P50" s="113"/>
      <c r="Q50" s="113"/>
      <c r="R50" s="113"/>
    </row>
    <row r="51" spans="1:18" s="116" customFormat="1" ht="15.75">
      <c r="A51" s="113"/>
      <c r="B51" s="114"/>
      <c r="C51" s="115"/>
      <c r="D51" s="114"/>
      <c r="E51" s="115"/>
      <c r="F51" s="190"/>
      <c r="G51" s="194"/>
      <c r="I51" s="114"/>
      <c r="J51" s="114"/>
      <c r="K51" s="118"/>
      <c r="M51" s="187"/>
      <c r="N51" s="194"/>
      <c r="O51" s="113"/>
      <c r="P51" s="113"/>
      <c r="Q51" s="113"/>
      <c r="R51" s="113"/>
    </row>
    <row r="52" spans="1:18" s="116" customFormat="1" ht="15.75">
      <c r="A52" s="113"/>
      <c r="B52" s="114"/>
      <c r="C52" s="115"/>
      <c r="D52" s="114"/>
      <c r="E52" s="115"/>
      <c r="F52" s="190"/>
      <c r="G52" s="194"/>
      <c r="I52" s="114"/>
      <c r="J52" s="114"/>
      <c r="K52" s="118"/>
      <c r="M52" s="187"/>
      <c r="N52" s="194"/>
      <c r="O52" s="113"/>
      <c r="P52" s="113"/>
      <c r="Q52" s="113"/>
      <c r="R52" s="113"/>
    </row>
    <row r="53" spans="1:18" s="116" customFormat="1" ht="15.75">
      <c r="A53" s="113"/>
      <c r="B53" s="114"/>
      <c r="C53" s="115"/>
      <c r="D53" s="114"/>
      <c r="E53" s="115"/>
      <c r="F53" s="190"/>
      <c r="G53" s="194"/>
      <c r="I53" s="114"/>
      <c r="J53" s="114"/>
      <c r="K53" s="118"/>
      <c r="M53" s="187"/>
      <c r="N53" s="194"/>
      <c r="O53" s="113"/>
      <c r="P53" s="113"/>
      <c r="Q53" s="113"/>
      <c r="R53" s="113"/>
    </row>
    <row r="54" spans="1:18" s="116" customFormat="1" ht="15.75">
      <c r="A54" s="113"/>
      <c r="B54" s="114"/>
      <c r="C54" s="115"/>
      <c r="D54" s="114"/>
      <c r="E54" s="115"/>
      <c r="F54" s="190"/>
      <c r="G54" s="194"/>
      <c r="I54" s="114"/>
      <c r="J54" s="114"/>
      <c r="K54" s="118"/>
      <c r="M54" s="187"/>
      <c r="N54" s="194"/>
      <c r="O54" s="113"/>
      <c r="P54" s="113"/>
      <c r="Q54" s="113"/>
      <c r="R54" s="113"/>
    </row>
    <row r="55" spans="1:18" s="116" customFormat="1" ht="15.75">
      <c r="A55" s="113"/>
      <c r="B55" s="114"/>
      <c r="C55" s="115"/>
      <c r="D55" s="114"/>
      <c r="E55" s="115"/>
      <c r="F55" s="190"/>
      <c r="G55" s="194"/>
      <c r="I55" s="114"/>
      <c r="J55" s="114"/>
      <c r="K55" s="118"/>
      <c r="M55" s="187"/>
      <c r="N55" s="194"/>
      <c r="O55" s="113"/>
      <c r="P55" s="113"/>
      <c r="Q55" s="113"/>
      <c r="R55" s="113"/>
    </row>
    <row r="56" spans="1:18" s="116" customFormat="1" ht="15.75">
      <c r="A56" s="113"/>
      <c r="B56" s="114"/>
      <c r="C56" s="115"/>
      <c r="D56" s="114"/>
      <c r="E56" s="115"/>
      <c r="F56" s="190"/>
      <c r="G56" s="194"/>
      <c r="I56" s="114"/>
      <c r="J56" s="114"/>
      <c r="K56" s="118"/>
      <c r="M56" s="187"/>
      <c r="N56" s="194"/>
      <c r="O56" s="113"/>
      <c r="P56" s="113"/>
      <c r="Q56" s="113"/>
      <c r="R56" s="113"/>
    </row>
    <row r="57" spans="1:18" s="116" customFormat="1" ht="15.75">
      <c r="A57" s="113"/>
      <c r="B57" s="114"/>
      <c r="C57" s="115"/>
      <c r="D57" s="114"/>
      <c r="E57" s="115"/>
      <c r="F57" s="190"/>
      <c r="G57" s="194"/>
      <c r="I57" s="114"/>
      <c r="J57" s="114"/>
      <c r="K57" s="118"/>
      <c r="M57" s="187"/>
      <c r="N57" s="194"/>
      <c r="O57" s="113"/>
      <c r="P57" s="113"/>
      <c r="Q57" s="113"/>
      <c r="R57" s="113"/>
    </row>
    <row r="58" spans="1:18" s="116" customFormat="1" ht="15.75">
      <c r="A58" s="113"/>
      <c r="B58" s="114"/>
      <c r="C58" s="115"/>
      <c r="D58" s="114"/>
      <c r="E58" s="115"/>
      <c r="F58" s="190"/>
      <c r="G58" s="194"/>
      <c r="I58" s="114"/>
      <c r="J58" s="114"/>
      <c r="K58" s="118"/>
      <c r="M58" s="187"/>
      <c r="N58" s="194"/>
      <c r="O58" s="113"/>
      <c r="P58" s="113"/>
      <c r="Q58" s="113"/>
      <c r="R58" s="113"/>
    </row>
    <row r="59" spans="1:18" s="116" customFormat="1" ht="15.75">
      <c r="A59" s="113"/>
      <c r="B59" s="114"/>
      <c r="C59" s="115"/>
      <c r="D59" s="114"/>
      <c r="E59" s="115"/>
      <c r="F59" s="190"/>
      <c r="G59" s="194"/>
      <c r="I59" s="114"/>
      <c r="J59" s="114"/>
      <c r="K59" s="118"/>
      <c r="M59" s="187"/>
      <c r="N59" s="194"/>
      <c r="O59" s="113"/>
      <c r="P59" s="113"/>
      <c r="Q59" s="113"/>
      <c r="R59" s="113"/>
    </row>
    <row r="60" spans="1:18" s="116" customFormat="1" ht="15.75">
      <c r="A60" s="113"/>
      <c r="B60" s="114"/>
      <c r="C60" s="115"/>
      <c r="D60" s="114"/>
      <c r="E60" s="115"/>
      <c r="F60" s="190"/>
      <c r="G60" s="194"/>
      <c r="I60" s="114"/>
      <c r="J60" s="114"/>
      <c r="K60" s="118"/>
      <c r="M60" s="187"/>
      <c r="N60" s="194"/>
      <c r="O60" s="113"/>
      <c r="P60" s="113"/>
      <c r="Q60" s="113"/>
      <c r="R60" s="113"/>
    </row>
    <row r="61" spans="1:18" s="116" customFormat="1" ht="15.75">
      <c r="A61" s="113"/>
      <c r="B61" s="114"/>
      <c r="C61" s="115"/>
      <c r="D61" s="114"/>
      <c r="E61" s="115"/>
      <c r="F61" s="190"/>
      <c r="G61" s="194"/>
      <c r="I61" s="114"/>
      <c r="J61" s="114"/>
      <c r="K61" s="118"/>
      <c r="M61" s="187"/>
      <c r="N61" s="194"/>
      <c r="O61" s="113"/>
      <c r="P61" s="113"/>
      <c r="Q61" s="113"/>
      <c r="R61" s="113"/>
    </row>
    <row r="62" spans="1:18" s="116" customFormat="1" ht="15.75">
      <c r="A62" s="113"/>
      <c r="B62" s="114"/>
      <c r="C62" s="115"/>
      <c r="D62" s="114"/>
      <c r="E62" s="115"/>
      <c r="F62" s="190"/>
      <c r="G62" s="194"/>
      <c r="I62" s="114"/>
      <c r="J62" s="114"/>
      <c r="K62" s="118"/>
      <c r="M62" s="187"/>
      <c r="N62" s="194"/>
      <c r="O62" s="113"/>
      <c r="P62" s="113"/>
      <c r="Q62" s="113"/>
      <c r="R62" s="113"/>
    </row>
    <row r="63" spans="1:18" s="116" customFormat="1" ht="21.75" customHeight="1">
      <c r="A63" s="113"/>
      <c r="B63" s="114"/>
      <c r="C63" s="115"/>
      <c r="D63" s="114"/>
      <c r="E63" s="115"/>
      <c r="F63" s="190"/>
      <c r="G63" s="194"/>
      <c r="I63" s="114"/>
      <c r="J63" s="114"/>
      <c r="K63" s="118"/>
      <c r="M63" s="187"/>
      <c r="N63" s="194"/>
      <c r="O63" s="113"/>
      <c r="P63" s="113"/>
      <c r="Q63" s="113"/>
      <c r="R63" s="113"/>
    </row>
    <row r="64" spans="1:18" s="116" customFormat="1" ht="21.75" customHeight="1">
      <c r="A64" s="113"/>
      <c r="B64" s="114"/>
      <c r="C64" s="115"/>
      <c r="D64" s="114"/>
      <c r="E64" s="115"/>
      <c r="F64" s="190"/>
      <c r="G64" s="194"/>
      <c r="I64" s="114"/>
      <c r="J64" s="114"/>
      <c r="K64" s="118"/>
      <c r="M64" s="187"/>
      <c r="N64" s="194"/>
      <c r="O64" s="113"/>
      <c r="P64" s="113"/>
      <c r="Q64" s="113"/>
      <c r="R64" s="113"/>
    </row>
    <row r="65" spans="1:18" s="116" customFormat="1" ht="21.75" customHeight="1">
      <c r="A65" s="113"/>
      <c r="B65" s="114"/>
      <c r="C65" s="115"/>
      <c r="D65" s="114"/>
      <c r="E65" s="115"/>
      <c r="F65" s="190"/>
      <c r="G65" s="194"/>
      <c r="I65" s="114"/>
      <c r="J65" s="114"/>
      <c r="K65" s="118"/>
      <c r="M65" s="187"/>
      <c r="N65" s="194"/>
      <c r="O65" s="113"/>
      <c r="P65" s="113"/>
      <c r="Q65" s="113"/>
      <c r="R65" s="113"/>
    </row>
    <row r="66" spans="1:18" s="116" customFormat="1" ht="21.75" customHeight="1">
      <c r="A66" s="113"/>
      <c r="B66" s="114"/>
      <c r="C66" s="115"/>
      <c r="D66" s="114"/>
      <c r="E66" s="115"/>
      <c r="F66" s="190"/>
      <c r="G66" s="194"/>
      <c r="I66" s="114"/>
      <c r="J66" s="114"/>
      <c r="K66" s="118"/>
      <c r="M66" s="187"/>
      <c r="N66" s="194"/>
      <c r="O66" s="113"/>
      <c r="P66" s="113"/>
      <c r="Q66" s="113"/>
      <c r="R66" s="113"/>
    </row>
    <row r="67" spans="1:18" s="116" customFormat="1" ht="21.75" customHeight="1">
      <c r="A67" s="113"/>
      <c r="B67" s="114"/>
      <c r="C67" s="115"/>
      <c r="D67" s="114"/>
      <c r="E67" s="115"/>
      <c r="F67" s="190"/>
      <c r="G67" s="194"/>
      <c r="I67" s="114"/>
      <c r="J67" s="114"/>
      <c r="K67" s="118"/>
      <c r="M67" s="187"/>
      <c r="N67" s="194"/>
      <c r="O67" s="113"/>
      <c r="P67" s="113"/>
      <c r="Q67" s="113"/>
      <c r="R67" s="113"/>
    </row>
    <row r="68" spans="1:18" s="116" customFormat="1" ht="21.75" customHeight="1">
      <c r="A68" s="113"/>
      <c r="B68" s="114"/>
      <c r="C68" s="115"/>
      <c r="D68" s="114"/>
      <c r="E68" s="115"/>
      <c r="F68" s="190"/>
      <c r="G68" s="194"/>
      <c r="I68" s="114"/>
      <c r="J68" s="114"/>
      <c r="K68" s="118"/>
      <c r="M68" s="187"/>
      <c r="N68" s="194"/>
      <c r="O68" s="113"/>
      <c r="P68" s="113"/>
      <c r="Q68" s="113"/>
      <c r="R68" s="113"/>
    </row>
    <row r="69" spans="1:18" s="116" customFormat="1" ht="21.75" customHeight="1">
      <c r="A69" s="113"/>
      <c r="B69" s="114"/>
      <c r="C69" s="115"/>
      <c r="D69" s="114"/>
      <c r="E69" s="115"/>
      <c r="F69" s="190"/>
      <c r="G69" s="194"/>
      <c r="I69" s="114"/>
      <c r="J69" s="114"/>
      <c r="K69" s="118"/>
      <c r="M69" s="187"/>
      <c r="N69" s="194"/>
      <c r="O69" s="113"/>
      <c r="P69" s="113"/>
      <c r="Q69" s="113"/>
      <c r="R69" s="113"/>
    </row>
    <row r="70" spans="1:18" s="116" customFormat="1" ht="21.75" customHeight="1">
      <c r="A70" s="113"/>
      <c r="B70" s="114"/>
      <c r="C70" s="115"/>
      <c r="D70" s="114"/>
      <c r="E70" s="115"/>
      <c r="F70" s="190"/>
      <c r="G70" s="194"/>
      <c r="I70" s="114"/>
      <c r="J70" s="114"/>
      <c r="K70" s="118"/>
      <c r="M70" s="187"/>
      <c r="N70" s="194"/>
      <c r="O70" s="113"/>
      <c r="P70" s="113"/>
      <c r="Q70" s="113"/>
      <c r="R70" s="113"/>
    </row>
    <row r="71" spans="1:18" s="116" customFormat="1" ht="21.75" customHeight="1">
      <c r="A71" s="113"/>
      <c r="B71" s="114"/>
      <c r="C71" s="115"/>
      <c r="D71" s="114"/>
      <c r="E71" s="115"/>
      <c r="F71" s="190"/>
      <c r="G71" s="194"/>
      <c r="I71" s="114"/>
      <c r="J71" s="114"/>
      <c r="K71" s="118"/>
      <c r="M71" s="187"/>
      <c r="N71" s="194"/>
      <c r="O71" s="113"/>
      <c r="P71" s="113"/>
      <c r="Q71" s="113"/>
      <c r="R71" s="113"/>
    </row>
    <row r="72" spans="1:18" s="116" customFormat="1" ht="21.75" customHeight="1">
      <c r="A72" s="113"/>
      <c r="B72" s="114"/>
      <c r="C72" s="115"/>
      <c r="D72" s="114"/>
      <c r="E72" s="115"/>
      <c r="F72" s="190"/>
      <c r="G72" s="194"/>
      <c r="I72" s="114"/>
      <c r="J72" s="114"/>
      <c r="K72" s="118"/>
      <c r="M72" s="187"/>
      <c r="N72" s="194"/>
      <c r="O72" s="113"/>
      <c r="P72" s="113"/>
      <c r="Q72" s="113"/>
      <c r="R72" s="113"/>
    </row>
    <row r="73" spans="1:18" s="116" customFormat="1" ht="21.75" customHeight="1">
      <c r="A73" s="113"/>
      <c r="B73" s="114"/>
      <c r="C73" s="115"/>
      <c r="D73" s="114"/>
      <c r="E73" s="115"/>
      <c r="F73" s="190"/>
      <c r="G73" s="194"/>
      <c r="I73" s="114"/>
      <c r="J73" s="114"/>
      <c r="K73" s="118"/>
      <c r="M73" s="187"/>
      <c r="N73" s="194"/>
      <c r="O73" s="113"/>
      <c r="P73" s="113"/>
      <c r="Q73" s="113"/>
      <c r="R73" s="113"/>
    </row>
    <row r="74" spans="1:18" s="116" customFormat="1" ht="21.75" customHeight="1">
      <c r="A74" s="113"/>
      <c r="B74" s="114"/>
      <c r="C74" s="115"/>
      <c r="D74" s="114"/>
      <c r="E74" s="115"/>
      <c r="F74" s="190"/>
      <c r="G74" s="194"/>
      <c r="I74" s="114"/>
      <c r="J74" s="114"/>
      <c r="K74" s="118"/>
      <c r="M74" s="187"/>
      <c r="N74" s="194"/>
      <c r="O74" s="113"/>
      <c r="P74" s="113"/>
      <c r="Q74" s="113"/>
      <c r="R74" s="113"/>
    </row>
    <row r="75" spans="1:18" s="116" customFormat="1" ht="21.75" customHeight="1">
      <c r="A75" s="113"/>
      <c r="B75" s="114"/>
      <c r="C75" s="115"/>
      <c r="D75" s="114"/>
      <c r="E75" s="115"/>
      <c r="F75" s="190"/>
      <c r="G75" s="194"/>
      <c r="I75" s="114"/>
      <c r="J75" s="114"/>
      <c r="K75" s="118"/>
      <c r="M75" s="187"/>
      <c r="N75" s="194"/>
      <c r="O75" s="113"/>
      <c r="P75" s="113"/>
      <c r="Q75" s="113"/>
      <c r="R75" s="113"/>
    </row>
    <row r="76" spans="1:18" s="116" customFormat="1" ht="21.75" customHeight="1">
      <c r="A76" s="113"/>
      <c r="B76" s="114"/>
      <c r="C76" s="115"/>
      <c r="D76" s="114"/>
      <c r="E76" s="115"/>
      <c r="F76" s="190"/>
      <c r="G76" s="194"/>
      <c r="I76" s="114"/>
      <c r="J76" s="114"/>
      <c r="K76" s="118"/>
      <c r="M76" s="187"/>
      <c r="N76" s="194"/>
      <c r="O76" s="113"/>
      <c r="P76" s="113"/>
      <c r="Q76" s="113"/>
      <c r="R76" s="113"/>
    </row>
    <row r="77" spans="1:18" s="116" customFormat="1" ht="21.75" customHeight="1">
      <c r="A77" s="113"/>
      <c r="B77" s="114"/>
      <c r="C77" s="115"/>
      <c r="D77" s="114"/>
      <c r="E77" s="115"/>
      <c r="F77" s="190"/>
      <c r="G77" s="194"/>
      <c r="I77" s="114"/>
      <c r="J77" s="114"/>
      <c r="K77" s="118"/>
      <c r="M77" s="187"/>
      <c r="N77" s="194"/>
      <c r="O77" s="113"/>
      <c r="P77" s="113"/>
      <c r="Q77" s="113"/>
      <c r="R77" s="113"/>
    </row>
    <row r="78" spans="1:18" s="116" customFormat="1" ht="21.75" customHeight="1">
      <c r="A78" s="113"/>
      <c r="B78" s="114"/>
      <c r="C78" s="115"/>
      <c r="D78" s="114"/>
      <c r="E78" s="115"/>
      <c r="F78" s="190"/>
      <c r="G78" s="194"/>
      <c r="I78" s="114"/>
      <c r="J78" s="114"/>
      <c r="K78" s="118"/>
      <c r="M78" s="187"/>
      <c r="N78" s="194"/>
      <c r="O78" s="113"/>
      <c r="P78" s="113"/>
      <c r="Q78" s="113"/>
      <c r="R78" s="113"/>
    </row>
    <row r="79" spans="1:18" s="116" customFormat="1" ht="21.75" customHeight="1">
      <c r="A79" s="113"/>
      <c r="B79" s="114"/>
      <c r="C79" s="115"/>
      <c r="D79" s="114"/>
      <c r="E79" s="115"/>
      <c r="F79" s="190"/>
      <c r="G79" s="194"/>
      <c r="I79" s="114"/>
      <c r="J79" s="114"/>
      <c r="K79" s="118"/>
      <c r="M79" s="187"/>
      <c r="N79" s="194"/>
      <c r="O79" s="113"/>
      <c r="P79" s="113"/>
      <c r="Q79" s="113"/>
      <c r="R79" s="113"/>
    </row>
    <row r="80" spans="1:18" s="116" customFormat="1" ht="21.75" customHeight="1">
      <c r="A80" s="113"/>
      <c r="B80" s="114"/>
      <c r="C80" s="115"/>
      <c r="D80" s="114"/>
      <c r="E80" s="115"/>
      <c r="F80" s="190"/>
      <c r="G80" s="194"/>
      <c r="I80" s="114"/>
      <c r="J80" s="114"/>
      <c r="K80" s="118"/>
      <c r="M80" s="187"/>
      <c r="N80" s="194"/>
      <c r="O80" s="113"/>
      <c r="P80" s="113"/>
      <c r="Q80" s="113"/>
      <c r="R80" s="113"/>
    </row>
    <row r="81" spans="1:18" s="116" customFormat="1" ht="21.75" customHeight="1">
      <c r="A81" s="113"/>
      <c r="B81" s="114"/>
      <c r="C81" s="115"/>
      <c r="D81" s="114"/>
      <c r="E81" s="115"/>
      <c r="F81" s="190"/>
      <c r="G81" s="194"/>
      <c r="I81" s="114"/>
      <c r="J81" s="114"/>
      <c r="K81" s="118"/>
      <c r="M81" s="187"/>
      <c r="N81" s="194"/>
      <c r="O81" s="113"/>
      <c r="P81" s="113"/>
      <c r="Q81" s="113"/>
      <c r="R81" s="113"/>
    </row>
    <row r="82" spans="1:18" s="116" customFormat="1" ht="21.75" customHeight="1">
      <c r="A82" s="113"/>
      <c r="B82" s="114"/>
      <c r="C82" s="115"/>
      <c r="D82" s="114"/>
      <c r="E82" s="115"/>
      <c r="F82" s="190"/>
      <c r="G82" s="194"/>
      <c r="I82" s="114"/>
      <c r="J82" s="114"/>
      <c r="K82" s="118"/>
      <c r="M82" s="187"/>
      <c r="N82" s="194"/>
      <c r="O82" s="113"/>
      <c r="P82" s="113"/>
      <c r="Q82" s="113"/>
      <c r="R82" s="113"/>
    </row>
    <row r="83" spans="1:18" s="116" customFormat="1" ht="21.75" customHeight="1">
      <c r="A83" s="113"/>
      <c r="B83" s="114"/>
      <c r="C83" s="115"/>
      <c r="D83" s="114"/>
      <c r="E83" s="115"/>
      <c r="F83" s="190"/>
      <c r="G83" s="194"/>
      <c r="I83" s="114"/>
      <c r="J83" s="114"/>
      <c r="K83" s="118"/>
      <c r="M83" s="187"/>
      <c r="N83" s="194"/>
      <c r="O83" s="113"/>
      <c r="P83" s="113"/>
      <c r="Q83" s="113"/>
      <c r="R83" s="113"/>
    </row>
    <row r="84" spans="1:18" s="116" customFormat="1" ht="21.75" customHeight="1">
      <c r="A84" s="113"/>
      <c r="B84" s="114"/>
      <c r="C84" s="115"/>
      <c r="D84" s="114"/>
      <c r="E84" s="115"/>
      <c r="F84" s="190"/>
      <c r="G84" s="194"/>
      <c r="I84" s="114"/>
      <c r="J84" s="114"/>
      <c r="K84" s="118"/>
      <c r="M84" s="187"/>
      <c r="N84" s="194"/>
      <c r="O84" s="113"/>
      <c r="P84" s="113"/>
      <c r="Q84" s="113"/>
      <c r="R84" s="113"/>
    </row>
    <row r="85" spans="1:18" s="116" customFormat="1" ht="21.75" customHeight="1">
      <c r="A85" s="113"/>
      <c r="B85" s="114"/>
      <c r="C85" s="115"/>
      <c r="D85" s="114"/>
      <c r="E85" s="115"/>
      <c r="F85" s="190"/>
      <c r="G85" s="194"/>
      <c r="I85" s="114"/>
      <c r="J85" s="114"/>
      <c r="K85" s="118"/>
      <c r="M85" s="187"/>
      <c r="N85" s="194"/>
      <c r="O85" s="113"/>
      <c r="P85" s="113"/>
      <c r="Q85" s="113"/>
      <c r="R85" s="113"/>
    </row>
    <row r="86" spans="1:18" s="116" customFormat="1" ht="21.75" customHeight="1">
      <c r="A86" s="113"/>
      <c r="B86" s="114"/>
      <c r="C86" s="115"/>
      <c r="D86" s="114"/>
      <c r="E86" s="115"/>
      <c r="F86" s="190"/>
      <c r="G86" s="194"/>
      <c r="I86" s="114"/>
      <c r="J86" s="114"/>
      <c r="K86" s="118"/>
      <c r="M86" s="187"/>
      <c r="N86" s="194"/>
      <c r="O86" s="113"/>
      <c r="P86" s="113"/>
      <c r="Q86" s="113"/>
      <c r="R86" s="113"/>
    </row>
    <row r="87" spans="1:18" s="116" customFormat="1" ht="21.75" customHeight="1">
      <c r="A87" s="113"/>
      <c r="B87" s="114"/>
      <c r="C87" s="115"/>
      <c r="D87" s="114"/>
      <c r="E87" s="115"/>
      <c r="F87" s="190"/>
      <c r="G87" s="194"/>
      <c r="I87" s="114"/>
      <c r="J87" s="114"/>
      <c r="K87" s="118"/>
      <c r="M87" s="187"/>
      <c r="N87" s="194"/>
      <c r="O87" s="113"/>
      <c r="P87" s="113"/>
      <c r="Q87" s="113"/>
      <c r="R87" s="113"/>
    </row>
    <row r="88" spans="1:18" s="116" customFormat="1" ht="21.75" customHeight="1">
      <c r="A88" s="113"/>
      <c r="B88" s="114"/>
      <c r="C88" s="115"/>
      <c r="D88" s="114"/>
      <c r="E88" s="115"/>
      <c r="F88" s="190"/>
      <c r="G88" s="194"/>
      <c r="I88" s="114"/>
      <c r="J88" s="114"/>
      <c r="K88" s="118"/>
      <c r="M88" s="187"/>
      <c r="N88" s="194"/>
      <c r="O88" s="113"/>
      <c r="P88" s="113"/>
      <c r="Q88" s="113"/>
      <c r="R88" s="113"/>
    </row>
    <row r="89" spans="1:18" s="116" customFormat="1" ht="21.75" customHeight="1">
      <c r="A89" s="113"/>
      <c r="B89" s="114"/>
      <c r="C89" s="115"/>
      <c r="D89" s="114"/>
      <c r="E89" s="115"/>
      <c r="F89" s="190"/>
      <c r="G89" s="194"/>
      <c r="I89" s="114"/>
      <c r="J89" s="114"/>
      <c r="K89" s="118"/>
      <c r="M89" s="187"/>
      <c r="N89" s="194"/>
      <c r="O89" s="113"/>
      <c r="P89" s="113"/>
      <c r="Q89" s="113"/>
      <c r="R89" s="113"/>
    </row>
    <row r="90" spans="1:18" s="116" customFormat="1" ht="21.75" customHeight="1">
      <c r="A90" s="113"/>
      <c r="B90" s="114"/>
      <c r="C90" s="115"/>
      <c r="D90" s="114"/>
      <c r="E90" s="115"/>
      <c r="F90" s="190"/>
      <c r="G90" s="194"/>
      <c r="I90" s="114"/>
      <c r="J90" s="114"/>
      <c r="K90" s="118"/>
      <c r="M90" s="187"/>
      <c r="N90" s="194"/>
      <c r="O90" s="113"/>
      <c r="P90" s="113"/>
      <c r="Q90" s="113"/>
      <c r="R90" s="113"/>
    </row>
    <row r="91" spans="1:18" s="116" customFormat="1" ht="21.75" customHeight="1">
      <c r="A91" s="113"/>
      <c r="B91" s="114"/>
      <c r="C91" s="115"/>
      <c r="D91" s="114"/>
      <c r="E91" s="115"/>
      <c r="F91" s="190"/>
      <c r="G91" s="194"/>
      <c r="I91" s="114"/>
      <c r="J91" s="114"/>
      <c r="K91" s="118"/>
      <c r="M91" s="187"/>
      <c r="N91" s="194"/>
      <c r="O91" s="113"/>
      <c r="P91" s="113"/>
      <c r="Q91" s="113"/>
      <c r="R91" s="113"/>
    </row>
    <row r="92" spans="1:18" s="116" customFormat="1" ht="21.75" customHeight="1">
      <c r="A92" s="113"/>
      <c r="B92" s="114"/>
      <c r="C92" s="115"/>
      <c r="D92" s="114"/>
      <c r="E92" s="115"/>
      <c r="F92" s="190"/>
      <c r="G92" s="194"/>
      <c r="I92" s="114"/>
      <c r="J92" s="114"/>
      <c r="K92" s="118"/>
      <c r="M92" s="187"/>
      <c r="N92" s="194"/>
      <c r="O92" s="113"/>
      <c r="P92" s="113"/>
      <c r="Q92" s="113"/>
      <c r="R92" s="113"/>
    </row>
    <row r="93" spans="1:18" s="116" customFormat="1" ht="21.75" customHeight="1">
      <c r="A93" s="113"/>
      <c r="B93" s="114"/>
      <c r="C93" s="115"/>
      <c r="D93" s="114"/>
      <c r="E93" s="115"/>
      <c r="F93" s="190"/>
      <c r="G93" s="194"/>
      <c r="I93" s="114"/>
      <c r="J93" s="114"/>
      <c r="K93" s="118"/>
      <c r="M93" s="187"/>
      <c r="N93" s="194"/>
      <c r="O93" s="113"/>
      <c r="P93" s="113"/>
      <c r="Q93" s="113"/>
      <c r="R93" s="113"/>
    </row>
    <row r="94" spans="1:18" s="116" customFormat="1" ht="21.75" customHeight="1">
      <c r="A94" s="113"/>
      <c r="B94" s="114"/>
      <c r="C94" s="115"/>
      <c r="D94" s="114"/>
      <c r="E94" s="115"/>
      <c r="F94" s="190"/>
      <c r="G94" s="194"/>
      <c r="I94" s="114"/>
      <c r="J94" s="114"/>
      <c r="K94" s="118"/>
      <c r="M94" s="187"/>
      <c r="N94" s="194"/>
      <c r="O94" s="113"/>
      <c r="P94" s="113"/>
      <c r="Q94" s="113"/>
      <c r="R94" s="113"/>
    </row>
    <row r="95" spans="1:18" s="116" customFormat="1" ht="21.75" customHeight="1">
      <c r="A95" s="113"/>
      <c r="B95" s="114"/>
      <c r="C95" s="115"/>
      <c r="D95" s="114"/>
      <c r="E95" s="115"/>
      <c r="F95" s="190"/>
      <c r="G95" s="194"/>
      <c r="I95" s="114"/>
      <c r="J95" s="114"/>
      <c r="K95" s="118"/>
      <c r="M95" s="187"/>
      <c r="N95" s="194"/>
      <c r="O95" s="113"/>
      <c r="P95" s="113"/>
      <c r="Q95" s="113"/>
      <c r="R95" s="113"/>
    </row>
    <row r="96" spans="1:18" s="116" customFormat="1" ht="21.75" customHeight="1">
      <c r="A96" s="113"/>
      <c r="B96" s="114"/>
      <c r="C96" s="115"/>
      <c r="D96" s="114"/>
      <c r="E96" s="115"/>
      <c r="F96" s="190"/>
      <c r="G96" s="194"/>
      <c r="I96" s="114"/>
      <c r="J96" s="114"/>
      <c r="K96" s="118"/>
      <c r="M96" s="187"/>
      <c r="N96" s="194"/>
      <c r="O96" s="113"/>
      <c r="P96" s="113"/>
      <c r="Q96" s="113"/>
      <c r="R96" s="113"/>
    </row>
    <row r="97" spans="1:18" s="116" customFormat="1" ht="21.75" customHeight="1">
      <c r="A97" s="113"/>
      <c r="B97" s="114"/>
      <c r="C97" s="115"/>
      <c r="D97" s="114"/>
      <c r="E97" s="115"/>
      <c r="F97" s="190"/>
      <c r="G97" s="194"/>
      <c r="I97" s="114"/>
      <c r="J97" s="114"/>
      <c r="K97" s="118"/>
      <c r="M97" s="187"/>
      <c r="N97" s="194"/>
      <c r="O97" s="113"/>
      <c r="P97" s="113"/>
      <c r="Q97" s="113"/>
      <c r="R97" s="113"/>
    </row>
    <row r="98" spans="1:18" s="116" customFormat="1" ht="21.75" customHeight="1">
      <c r="A98" s="113"/>
      <c r="B98" s="114"/>
      <c r="C98" s="115"/>
      <c r="D98" s="114"/>
      <c r="E98" s="115"/>
      <c r="F98" s="190"/>
      <c r="G98" s="194"/>
      <c r="I98" s="114"/>
      <c r="J98" s="114"/>
      <c r="K98" s="118"/>
      <c r="M98" s="187"/>
      <c r="N98" s="194"/>
      <c r="O98" s="113"/>
      <c r="P98" s="113"/>
      <c r="Q98" s="113"/>
      <c r="R98" s="113"/>
    </row>
    <row r="99" spans="1:18" s="116" customFormat="1" ht="21.75" customHeight="1">
      <c r="A99" s="113"/>
      <c r="B99" s="114"/>
      <c r="C99" s="115"/>
      <c r="D99" s="114"/>
      <c r="E99" s="115"/>
      <c r="F99" s="190"/>
      <c r="G99" s="194"/>
      <c r="I99" s="114"/>
      <c r="J99" s="114"/>
      <c r="K99" s="118"/>
      <c r="M99" s="187"/>
      <c r="N99" s="194"/>
      <c r="O99" s="113"/>
      <c r="P99" s="113"/>
      <c r="Q99" s="113"/>
      <c r="R99" s="113"/>
    </row>
    <row r="100" spans="1:18" s="116" customFormat="1" ht="21.75" customHeight="1">
      <c r="A100" s="113"/>
      <c r="B100" s="114"/>
      <c r="C100" s="115"/>
      <c r="D100" s="114"/>
      <c r="E100" s="115"/>
      <c r="F100" s="190"/>
      <c r="G100" s="194"/>
      <c r="I100" s="114"/>
      <c r="J100" s="114"/>
      <c r="K100" s="118"/>
      <c r="M100" s="187"/>
      <c r="N100" s="194"/>
      <c r="O100" s="113"/>
      <c r="P100" s="113"/>
      <c r="Q100" s="113"/>
      <c r="R100" s="113"/>
    </row>
    <row r="101" spans="1:18" s="116" customFormat="1" ht="21.75" customHeight="1">
      <c r="A101" s="113"/>
      <c r="B101" s="114"/>
      <c r="C101" s="115"/>
      <c r="D101" s="114"/>
      <c r="E101" s="115"/>
      <c r="F101" s="190"/>
      <c r="G101" s="194"/>
      <c r="I101" s="114"/>
      <c r="J101" s="114"/>
      <c r="K101" s="118"/>
      <c r="M101" s="187"/>
      <c r="N101" s="194"/>
      <c r="O101" s="113"/>
      <c r="P101" s="113"/>
      <c r="Q101" s="113"/>
      <c r="R101" s="113"/>
    </row>
    <row r="102" spans="1:18" s="116" customFormat="1" ht="21.75" customHeight="1">
      <c r="A102" s="113"/>
      <c r="B102" s="114"/>
      <c r="C102" s="115"/>
      <c r="D102" s="114"/>
      <c r="E102" s="115"/>
      <c r="F102" s="190"/>
      <c r="G102" s="194"/>
      <c r="I102" s="114"/>
      <c r="J102" s="114"/>
      <c r="K102" s="118"/>
      <c r="M102" s="187"/>
      <c r="N102" s="194"/>
      <c r="O102" s="113"/>
      <c r="P102" s="113"/>
      <c r="Q102" s="113"/>
      <c r="R102" s="113"/>
    </row>
    <row r="103" spans="1:18" s="116" customFormat="1" ht="21.75" customHeight="1">
      <c r="A103" s="113"/>
      <c r="B103" s="114"/>
      <c r="C103" s="115"/>
      <c r="D103" s="114"/>
      <c r="E103" s="115"/>
      <c r="F103" s="190"/>
      <c r="G103" s="194"/>
      <c r="I103" s="114"/>
      <c r="J103" s="114"/>
      <c r="K103" s="118"/>
      <c r="M103" s="187"/>
      <c r="N103" s="194"/>
      <c r="O103" s="113"/>
      <c r="P103" s="113"/>
      <c r="Q103" s="113"/>
      <c r="R103" s="113"/>
    </row>
    <row r="104" spans="1:18" s="116" customFormat="1" ht="21.75" customHeight="1">
      <c r="A104" s="113"/>
      <c r="B104" s="114"/>
      <c r="C104" s="115"/>
      <c r="D104" s="114"/>
      <c r="E104" s="115"/>
      <c r="F104" s="190"/>
      <c r="G104" s="194"/>
      <c r="I104" s="114"/>
      <c r="J104" s="114"/>
      <c r="K104" s="118"/>
      <c r="M104" s="187"/>
      <c r="N104" s="194"/>
      <c r="O104" s="113"/>
      <c r="P104" s="113"/>
      <c r="Q104" s="113"/>
      <c r="R104" s="113"/>
    </row>
    <row r="105" spans="1:18" s="116" customFormat="1" ht="21.75" customHeight="1">
      <c r="A105" s="113"/>
      <c r="B105" s="114"/>
      <c r="C105" s="115"/>
      <c r="D105" s="114"/>
      <c r="E105" s="115"/>
      <c r="F105" s="190"/>
      <c r="G105" s="194"/>
      <c r="I105" s="114"/>
      <c r="J105" s="114"/>
      <c r="K105" s="118"/>
      <c r="M105" s="187"/>
      <c r="N105" s="194"/>
      <c r="O105" s="113"/>
      <c r="P105" s="113"/>
      <c r="Q105" s="113"/>
      <c r="R105" s="113"/>
    </row>
    <row r="106" spans="1:18" s="116" customFormat="1" ht="21.75" customHeight="1">
      <c r="A106" s="113"/>
      <c r="B106" s="114"/>
      <c r="C106" s="115"/>
      <c r="D106" s="114"/>
      <c r="E106" s="115"/>
      <c r="F106" s="190"/>
      <c r="G106" s="194"/>
      <c r="I106" s="114"/>
      <c r="J106" s="114"/>
      <c r="K106" s="118"/>
      <c r="M106" s="187"/>
      <c r="N106" s="194"/>
      <c r="O106" s="113"/>
      <c r="P106" s="113"/>
      <c r="Q106" s="113"/>
      <c r="R106" s="113"/>
    </row>
    <row r="107" spans="1:18" s="116" customFormat="1" ht="21.75" customHeight="1">
      <c r="A107" s="113"/>
      <c r="B107" s="114"/>
      <c r="C107" s="115"/>
      <c r="D107" s="114"/>
      <c r="E107" s="115"/>
      <c r="F107" s="190"/>
      <c r="G107" s="194"/>
      <c r="I107" s="114"/>
      <c r="J107" s="114"/>
      <c r="K107" s="118"/>
      <c r="M107" s="187"/>
      <c r="N107" s="194"/>
      <c r="O107" s="113"/>
      <c r="P107" s="113"/>
      <c r="Q107" s="113"/>
      <c r="R107" s="113"/>
    </row>
    <row r="108" spans="1:18" s="116" customFormat="1" ht="21.75" customHeight="1">
      <c r="A108" s="113"/>
      <c r="B108" s="114"/>
      <c r="C108" s="115"/>
      <c r="D108" s="114"/>
      <c r="E108" s="115"/>
      <c r="F108" s="190"/>
      <c r="G108" s="194"/>
      <c r="I108" s="114"/>
      <c r="J108" s="114"/>
      <c r="K108" s="118"/>
      <c r="M108" s="187"/>
      <c r="N108" s="194"/>
      <c r="O108" s="113"/>
      <c r="P108" s="113"/>
      <c r="Q108" s="113"/>
      <c r="R108" s="113"/>
    </row>
    <row r="109" spans="1:18" s="116" customFormat="1" ht="21.75" customHeight="1">
      <c r="A109" s="113"/>
      <c r="B109" s="114"/>
      <c r="C109" s="115"/>
      <c r="D109" s="114"/>
      <c r="E109" s="115"/>
      <c r="F109" s="190"/>
      <c r="G109" s="194"/>
      <c r="I109" s="114"/>
      <c r="J109" s="114"/>
      <c r="K109" s="118"/>
      <c r="M109" s="187"/>
      <c r="N109" s="194"/>
      <c r="O109" s="113"/>
      <c r="P109" s="113"/>
      <c r="Q109" s="113"/>
      <c r="R109" s="113"/>
    </row>
    <row r="110" spans="1:18" s="116" customFormat="1" ht="21.75" customHeight="1">
      <c r="A110" s="113"/>
      <c r="B110" s="114"/>
      <c r="C110" s="115"/>
      <c r="D110" s="114"/>
      <c r="E110" s="115"/>
      <c r="F110" s="190"/>
      <c r="G110" s="194"/>
      <c r="I110" s="114"/>
      <c r="J110" s="114"/>
      <c r="K110" s="118"/>
      <c r="M110" s="187"/>
      <c r="N110" s="194"/>
      <c r="O110" s="113"/>
      <c r="P110" s="113"/>
      <c r="Q110" s="113"/>
      <c r="R110" s="113"/>
    </row>
    <row r="111" spans="1:18" s="116" customFormat="1" ht="21.75" customHeight="1">
      <c r="A111" s="113"/>
      <c r="B111" s="114"/>
      <c r="C111" s="115"/>
      <c r="D111" s="114"/>
      <c r="E111" s="115"/>
      <c r="F111" s="190"/>
      <c r="G111" s="194"/>
      <c r="I111" s="114"/>
      <c r="J111" s="114"/>
      <c r="K111" s="118"/>
      <c r="M111" s="187"/>
      <c r="N111" s="194"/>
      <c r="O111" s="113"/>
      <c r="P111" s="113"/>
      <c r="Q111" s="113"/>
      <c r="R111" s="113"/>
    </row>
    <row r="112" spans="1:18" s="116" customFormat="1" ht="21.75" customHeight="1">
      <c r="A112" s="113"/>
      <c r="B112" s="114"/>
      <c r="C112" s="115"/>
      <c r="D112" s="114"/>
      <c r="E112" s="115"/>
      <c r="F112" s="190"/>
      <c r="G112" s="194"/>
      <c r="I112" s="114"/>
      <c r="J112" s="114"/>
      <c r="K112" s="118"/>
      <c r="M112" s="187"/>
      <c r="N112" s="194"/>
      <c r="O112" s="113"/>
      <c r="P112" s="113"/>
      <c r="Q112" s="113"/>
      <c r="R112" s="113"/>
    </row>
    <row r="113" spans="1:18" s="116" customFormat="1" ht="21.75" customHeight="1">
      <c r="A113" s="113"/>
      <c r="B113" s="114"/>
      <c r="C113" s="115"/>
      <c r="D113" s="114"/>
      <c r="E113" s="115"/>
      <c r="F113" s="190"/>
      <c r="G113" s="194"/>
      <c r="I113" s="114"/>
      <c r="J113" s="114"/>
      <c r="K113" s="118"/>
      <c r="M113" s="187"/>
      <c r="N113" s="194"/>
      <c r="O113" s="113"/>
      <c r="P113" s="113"/>
      <c r="Q113" s="113"/>
      <c r="R113" s="113"/>
    </row>
    <row r="114" spans="1:18" s="116" customFormat="1" ht="21.75" customHeight="1">
      <c r="A114" s="113"/>
      <c r="B114" s="114"/>
      <c r="C114" s="115"/>
      <c r="D114" s="114"/>
      <c r="E114" s="115"/>
      <c r="F114" s="190"/>
      <c r="G114" s="194"/>
      <c r="I114" s="114"/>
      <c r="J114" s="114"/>
      <c r="K114" s="118"/>
      <c r="M114" s="187"/>
      <c r="N114" s="194"/>
      <c r="O114" s="113"/>
      <c r="P114" s="113"/>
      <c r="Q114" s="113"/>
      <c r="R114" s="113"/>
    </row>
    <row r="115" spans="1:18" s="116" customFormat="1" ht="21.75" customHeight="1">
      <c r="A115" s="113"/>
      <c r="B115" s="114"/>
      <c r="C115" s="115"/>
      <c r="D115" s="114"/>
      <c r="E115" s="115"/>
      <c r="F115" s="190"/>
      <c r="G115" s="194"/>
      <c r="I115" s="114"/>
      <c r="J115" s="114"/>
      <c r="K115" s="118"/>
      <c r="M115" s="187"/>
      <c r="N115" s="194"/>
      <c r="O115" s="113"/>
      <c r="P115" s="113"/>
      <c r="Q115" s="113"/>
      <c r="R115" s="113"/>
    </row>
    <row r="116" spans="1:18" s="116" customFormat="1" ht="21.75" customHeight="1">
      <c r="A116" s="113"/>
      <c r="B116" s="114"/>
      <c r="C116" s="115"/>
      <c r="D116" s="114"/>
      <c r="E116" s="115"/>
      <c r="F116" s="190"/>
      <c r="G116" s="194"/>
      <c r="I116" s="114"/>
      <c r="J116" s="114"/>
      <c r="K116" s="118"/>
      <c r="M116" s="187"/>
      <c r="N116" s="194"/>
      <c r="O116" s="113"/>
      <c r="P116" s="113"/>
      <c r="Q116" s="113"/>
      <c r="R116" s="113"/>
    </row>
    <row r="117" spans="1:18" s="116" customFormat="1" ht="21.75" customHeight="1">
      <c r="A117" s="113"/>
      <c r="B117" s="114"/>
      <c r="C117" s="115"/>
      <c r="D117" s="114"/>
      <c r="E117" s="115"/>
      <c r="F117" s="190"/>
      <c r="G117" s="194"/>
      <c r="I117" s="114"/>
      <c r="J117" s="114"/>
      <c r="K117" s="118"/>
      <c r="M117" s="187"/>
      <c r="N117" s="194"/>
      <c r="O117" s="113"/>
      <c r="P117" s="113"/>
      <c r="Q117" s="113"/>
      <c r="R117" s="113"/>
    </row>
    <row r="118" spans="1:18" s="116" customFormat="1" ht="21.75" customHeight="1">
      <c r="A118" s="113"/>
      <c r="B118" s="114"/>
      <c r="C118" s="115"/>
      <c r="D118" s="114"/>
      <c r="E118" s="115"/>
      <c r="F118" s="190"/>
      <c r="G118" s="194"/>
      <c r="I118" s="114"/>
      <c r="J118" s="114"/>
      <c r="K118" s="118"/>
      <c r="M118" s="187"/>
      <c r="N118" s="194"/>
      <c r="O118" s="113"/>
      <c r="P118" s="113"/>
      <c r="Q118" s="113"/>
      <c r="R118" s="113"/>
    </row>
    <row r="119" spans="1:18" s="116" customFormat="1" ht="21.75" customHeight="1">
      <c r="A119" s="113"/>
      <c r="B119" s="114"/>
      <c r="C119" s="115"/>
      <c r="D119" s="114"/>
      <c r="E119" s="115"/>
      <c r="F119" s="190"/>
      <c r="G119" s="194"/>
      <c r="I119" s="114"/>
      <c r="J119" s="114"/>
      <c r="K119" s="118"/>
      <c r="M119" s="187"/>
      <c r="N119" s="194"/>
      <c r="O119" s="113"/>
      <c r="P119" s="113"/>
      <c r="Q119" s="113"/>
      <c r="R119" s="113"/>
    </row>
    <row r="120" spans="1:18" s="116" customFormat="1" ht="21.75" customHeight="1">
      <c r="A120" s="113"/>
      <c r="B120" s="114"/>
      <c r="C120" s="115"/>
      <c r="D120" s="114"/>
      <c r="E120" s="115"/>
      <c r="F120" s="190"/>
      <c r="G120" s="194"/>
      <c r="I120" s="114"/>
      <c r="J120" s="114"/>
      <c r="K120" s="118"/>
      <c r="M120" s="187"/>
      <c r="N120" s="194"/>
      <c r="O120" s="113"/>
      <c r="P120" s="113"/>
      <c r="Q120" s="113"/>
      <c r="R120" s="113"/>
    </row>
    <row r="121" spans="1:18" s="116" customFormat="1" ht="21.75" customHeight="1">
      <c r="A121" s="113"/>
      <c r="B121" s="114"/>
      <c r="C121" s="115"/>
      <c r="D121" s="114"/>
      <c r="E121" s="115"/>
      <c r="F121" s="190"/>
      <c r="G121" s="194"/>
      <c r="I121" s="114"/>
      <c r="J121" s="114"/>
      <c r="K121" s="118"/>
      <c r="M121" s="187"/>
      <c r="N121" s="194"/>
      <c r="O121" s="113"/>
      <c r="P121" s="113"/>
      <c r="Q121" s="113"/>
      <c r="R121" s="113"/>
    </row>
    <row r="122" spans="1:18" s="116" customFormat="1" ht="21.75" customHeight="1">
      <c r="A122" s="113"/>
      <c r="B122" s="114"/>
      <c r="C122" s="115"/>
      <c r="D122" s="114"/>
      <c r="E122" s="115"/>
      <c r="F122" s="190"/>
      <c r="G122" s="194"/>
      <c r="I122" s="114"/>
      <c r="J122" s="114"/>
      <c r="K122" s="118"/>
      <c r="M122" s="187"/>
      <c r="N122" s="194"/>
      <c r="O122" s="113"/>
      <c r="P122" s="113"/>
      <c r="Q122" s="113"/>
      <c r="R122" s="113"/>
    </row>
    <row r="123" spans="1:18" s="116" customFormat="1" ht="21.75" customHeight="1">
      <c r="A123" s="113"/>
      <c r="B123" s="114"/>
      <c r="C123" s="115"/>
      <c r="D123" s="114"/>
      <c r="E123" s="115"/>
      <c r="F123" s="190"/>
      <c r="G123" s="194"/>
      <c r="I123" s="114"/>
      <c r="J123" s="114"/>
      <c r="K123" s="118"/>
      <c r="M123" s="187"/>
      <c r="N123" s="194"/>
      <c r="O123" s="113"/>
      <c r="P123" s="113"/>
      <c r="Q123" s="113"/>
      <c r="R123" s="113"/>
    </row>
    <row r="124" spans="1:18" s="116" customFormat="1" ht="21.75" customHeight="1">
      <c r="A124" s="113"/>
      <c r="B124" s="114"/>
      <c r="C124" s="115"/>
      <c r="D124" s="114"/>
      <c r="E124" s="115"/>
      <c r="F124" s="190"/>
      <c r="G124" s="194"/>
      <c r="I124" s="114"/>
      <c r="J124" s="114"/>
      <c r="K124" s="118"/>
      <c r="M124" s="187"/>
      <c r="N124" s="194"/>
      <c r="O124" s="113"/>
      <c r="P124" s="113"/>
      <c r="Q124" s="113"/>
      <c r="R124" s="113"/>
    </row>
    <row r="125" spans="1:18" s="116" customFormat="1" ht="21.75" customHeight="1">
      <c r="A125" s="113"/>
      <c r="B125" s="114"/>
      <c r="C125" s="115"/>
      <c r="D125" s="114"/>
      <c r="E125" s="115"/>
      <c r="F125" s="190"/>
      <c r="G125" s="194"/>
      <c r="I125" s="114"/>
      <c r="J125" s="114"/>
      <c r="K125" s="118"/>
      <c r="M125" s="187"/>
      <c r="N125" s="194"/>
      <c r="O125" s="113"/>
      <c r="P125" s="113"/>
      <c r="Q125" s="113"/>
      <c r="R125" s="113"/>
    </row>
    <row r="126" spans="1:18" s="116" customFormat="1" ht="21.75" customHeight="1">
      <c r="A126" s="113"/>
      <c r="B126" s="114"/>
      <c r="C126" s="115"/>
      <c r="D126" s="114"/>
      <c r="E126" s="115"/>
      <c r="F126" s="190"/>
      <c r="G126" s="194"/>
      <c r="I126" s="114"/>
      <c r="J126" s="114"/>
      <c r="K126" s="118"/>
      <c r="M126" s="187"/>
      <c r="N126" s="194"/>
      <c r="O126" s="113"/>
      <c r="P126" s="113"/>
      <c r="Q126" s="113"/>
      <c r="R126" s="113"/>
    </row>
    <row r="127" spans="1:18" s="116" customFormat="1" ht="21.75" customHeight="1">
      <c r="A127" s="113"/>
      <c r="B127" s="114"/>
      <c r="C127" s="115"/>
      <c r="D127" s="114"/>
      <c r="E127" s="115"/>
      <c r="F127" s="190"/>
      <c r="G127" s="194"/>
      <c r="I127" s="114"/>
      <c r="J127" s="114"/>
      <c r="K127" s="118"/>
      <c r="M127" s="187"/>
      <c r="N127" s="194"/>
      <c r="O127" s="113"/>
      <c r="P127" s="113"/>
      <c r="Q127" s="113"/>
      <c r="R127" s="113"/>
    </row>
    <row r="128" spans="1:18" s="116" customFormat="1" ht="21.75" customHeight="1">
      <c r="A128" s="113"/>
      <c r="B128" s="114"/>
      <c r="C128" s="115"/>
      <c r="D128" s="114"/>
      <c r="E128" s="115"/>
      <c r="F128" s="190"/>
      <c r="G128" s="194"/>
      <c r="I128" s="114"/>
      <c r="J128" s="114"/>
      <c r="K128" s="118"/>
      <c r="M128" s="187"/>
      <c r="N128" s="194"/>
      <c r="O128" s="113"/>
      <c r="P128" s="113"/>
      <c r="Q128" s="113"/>
      <c r="R128" s="113"/>
    </row>
    <row r="129" spans="1:18" s="116" customFormat="1" ht="21.75" customHeight="1">
      <c r="A129" s="113"/>
      <c r="B129" s="114"/>
      <c r="C129" s="115"/>
      <c r="D129" s="114"/>
      <c r="E129" s="115"/>
      <c r="F129" s="190"/>
      <c r="G129" s="194"/>
      <c r="I129" s="114"/>
      <c r="J129" s="114"/>
      <c r="K129" s="118"/>
      <c r="M129" s="187"/>
      <c r="N129" s="194"/>
      <c r="O129" s="113"/>
      <c r="P129" s="113"/>
      <c r="Q129" s="113"/>
      <c r="R129" s="113"/>
    </row>
    <row r="130" spans="1:18" s="116" customFormat="1" ht="21.75" customHeight="1">
      <c r="A130" s="113"/>
      <c r="B130" s="114"/>
      <c r="C130" s="115"/>
      <c r="D130" s="114"/>
      <c r="E130" s="115"/>
      <c r="F130" s="190"/>
      <c r="G130" s="194"/>
      <c r="I130" s="114"/>
      <c r="J130" s="114"/>
      <c r="K130" s="118"/>
      <c r="M130" s="187"/>
      <c r="N130" s="194"/>
      <c r="O130" s="113"/>
      <c r="P130" s="113"/>
      <c r="Q130" s="113"/>
      <c r="R130" s="113"/>
    </row>
    <row r="131" spans="1:18" s="116" customFormat="1" ht="21.75" customHeight="1">
      <c r="A131" s="113"/>
      <c r="B131" s="114"/>
      <c r="C131" s="115"/>
      <c r="D131" s="114"/>
      <c r="E131" s="115"/>
      <c r="F131" s="190"/>
      <c r="G131" s="194"/>
      <c r="I131" s="114"/>
      <c r="J131" s="114"/>
      <c r="K131" s="118"/>
      <c r="M131" s="187"/>
      <c r="N131" s="194"/>
      <c r="O131" s="113"/>
      <c r="P131" s="113"/>
      <c r="Q131" s="113"/>
      <c r="R131" s="113"/>
    </row>
    <row r="132" spans="1:18" s="116" customFormat="1" ht="21.75" customHeight="1">
      <c r="A132" s="113"/>
      <c r="B132" s="114"/>
      <c r="C132" s="115"/>
      <c r="D132" s="114"/>
      <c r="E132" s="115"/>
      <c r="F132" s="190"/>
      <c r="G132" s="194"/>
      <c r="I132" s="114"/>
      <c r="J132" s="114"/>
      <c r="K132" s="118"/>
      <c r="M132" s="187"/>
      <c r="N132" s="194"/>
      <c r="O132" s="113"/>
      <c r="P132" s="113"/>
      <c r="Q132" s="113"/>
      <c r="R132" s="113"/>
    </row>
    <row r="133" spans="1:18" s="116" customFormat="1" ht="21.75" customHeight="1">
      <c r="A133" s="113"/>
      <c r="B133" s="114"/>
      <c r="C133" s="115"/>
      <c r="D133" s="114"/>
      <c r="E133" s="115"/>
      <c r="F133" s="190"/>
      <c r="G133" s="194"/>
      <c r="I133" s="114"/>
      <c r="J133" s="114"/>
      <c r="K133" s="118"/>
      <c r="M133" s="187"/>
      <c r="N133" s="194"/>
      <c r="O133" s="113"/>
      <c r="P133" s="113"/>
      <c r="Q133" s="113"/>
      <c r="R133" s="113"/>
    </row>
    <row r="134" spans="1:18" s="116" customFormat="1" ht="21.75" customHeight="1">
      <c r="A134" s="113"/>
      <c r="B134" s="114"/>
      <c r="C134" s="115"/>
      <c r="D134" s="114"/>
      <c r="E134" s="115"/>
      <c r="F134" s="190"/>
      <c r="G134" s="194"/>
      <c r="I134" s="114"/>
      <c r="J134" s="114"/>
      <c r="K134" s="118"/>
      <c r="M134" s="187"/>
      <c r="N134" s="194"/>
      <c r="O134" s="113"/>
      <c r="P134" s="113"/>
      <c r="Q134" s="113"/>
      <c r="R134" s="113"/>
    </row>
    <row r="135" spans="1:18" s="116" customFormat="1" ht="21.75" customHeight="1">
      <c r="A135" s="113"/>
      <c r="B135" s="114"/>
      <c r="C135" s="115"/>
      <c r="D135" s="114"/>
      <c r="E135" s="115"/>
      <c r="F135" s="190"/>
      <c r="G135" s="194"/>
      <c r="I135" s="114"/>
      <c r="J135" s="114"/>
      <c r="K135" s="118"/>
      <c r="M135" s="187"/>
      <c r="N135" s="194"/>
      <c r="O135" s="113"/>
      <c r="P135" s="113"/>
      <c r="Q135" s="113"/>
      <c r="R135" s="113"/>
    </row>
    <row r="136" spans="1:18" s="116" customFormat="1" ht="21.75" customHeight="1">
      <c r="A136" s="113"/>
      <c r="B136" s="114"/>
      <c r="C136" s="115"/>
      <c r="D136" s="114"/>
      <c r="E136" s="115"/>
      <c r="F136" s="190"/>
      <c r="G136" s="194"/>
      <c r="I136" s="114"/>
      <c r="J136" s="114"/>
      <c r="K136" s="118"/>
      <c r="M136" s="187"/>
      <c r="N136" s="194"/>
      <c r="O136" s="113"/>
      <c r="P136" s="113"/>
      <c r="Q136" s="113"/>
      <c r="R136" s="113"/>
    </row>
    <row r="137" spans="1:18" s="116" customFormat="1" ht="21.75" customHeight="1">
      <c r="A137" s="113"/>
      <c r="B137" s="114"/>
      <c r="C137" s="115"/>
      <c r="D137" s="114"/>
      <c r="E137" s="115"/>
      <c r="F137" s="190"/>
      <c r="G137" s="194"/>
      <c r="I137" s="114"/>
      <c r="J137" s="114"/>
      <c r="K137" s="118"/>
      <c r="M137" s="187"/>
      <c r="N137" s="194"/>
      <c r="O137" s="113"/>
      <c r="P137" s="113"/>
      <c r="Q137" s="113"/>
      <c r="R137" s="113"/>
    </row>
    <row r="138" spans="1:18" s="116" customFormat="1" ht="21.75" customHeight="1">
      <c r="A138" s="113"/>
      <c r="B138" s="114"/>
      <c r="C138" s="115"/>
      <c r="D138" s="114"/>
      <c r="E138" s="115"/>
      <c r="F138" s="190"/>
      <c r="G138" s="194"/>
      <c r="I138" s="114"/>
      <c r="J138" s="114"/>
      <c r="K138" s="118"/>
      <c r="M138" s="187"/>
      <c r="N138" s="194"/>
      <c r="O138" s="113"/>
      <c r="P138" s="113"/>
      <c r="Q138" s="113"/>
      <c r="R138" s="113"/>
    </row>
  </sheetData>
  <mergeCells count="13">
    <mergeCell ref="A1:N1"/>
    <mergeCell ref="A2:C2"/>
    <mergeCell ref="M2:N2"/>
    <mergeCell ref="A3:G3"/>
    <mergeCell ref="H3:N3"/>
    <mergeCell ref="K4:L4"/>
    <mergeCell ref="M4:N4"/>
    <mergeCell ref="A4:A5"/>
    <mergeCell ref="B4:C4"/>
    <mergeCell ref="D4:E4"/>
    <mergeCell ref="F4:G4"/>
    <mergeCell ref="H4:H5"/>
    <mergeCell ref="I4:J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0" fitToHeight="0" orientation="landscape" r:id="rId1"/>
  <headerFooter scaleWithDoc="0"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  <pageSetUpPr fitToPage="1"/>
  </sheetPr>
  <dimension ref="A1:EW221"/>
  <sheetViews>
    <sheetView view="pageBreakPreview" zoomScale="85" zoomScaleNormal="85" zoomScaleSheetLayoutView="85" workbookViewId="0">
      <pane ySplit="6" topLeftCell="A82" activePane="bottomLeft" state="frozen"/>
      <selection activeCell="W31" sqref="W31"/>
      <selection pane="bottomLeft" activeCell="B63" sqref="B63"/>
    </sheetView>
  </sheetViews>
  <sheetFormatPr defaultColWidth="9" defaultRowHeight="21.75" customHeight="1"/>
  <cols>
    <col min="1" max="1" width="34.125" style="394" customWidth="1"/>
    <col min="2" max="2" width="12.875" style="153" bestFit="1" customWidth="1"/>
    <col min="3" max="3" width="10" style="154" bestFit="1" customWidth="1"/>
    <col min="4" max="4" width="14.375" style="153" bestFit="1" customWidth="1"/>
    <col min="5" max="5" width="10" style="154" bestFit="1" customWidth="1"/>
    <col min="6" max="6" width="15.5" style="205" bestFit="1" customWidth="1"/>
    <col min="7" max="7" width="12.625" style="210" bestFit="1" customWidth="1"/>
    <col min="8" max="8" width="31.125" style="397" bestFit="1" customWidth="1"/>
    <col min="9" max="9" width="12.875" style="156" bestFit="1" customWidth="1"/>
    <col min="10" max="10" width="10" style="153" bestFit="1" customWidth="1"/>
    <col min="11" max="11" width="14.375" style="156" bestFit="1" customWidth="1"/>
    <col min="12" max="12" width="10" style="155" bestFit="1" customWidth="1"/>
    <col min="13" max="13" width="15.5" style="207" bestFit="1" customWidth="1"/>
    <col min="14" max="14" width="12.625" style="210" bestFit="1" customWidth="1"/>
    <col min="15" max="15" width="11.375" style="152" bestFit="1" customWidth="1"/>
    <col min="16" max="16" width="16.25" style="155" customWidth="1"/>
    <col min="17" max="17" width="9.125" style="155" bestFit="1" customWidth="1"/>
    <col min="18" max="18" width="9.25" style="155" bestFit="1" customWidth="1"/>
    <col min="19" max="19" width="9.125" style="155" bestFit="1" customWidth="1"/>
    <col min="20" max="20" width="6.875" style="155" customWidth="1"/>
    <col min="21" max="21" width="15.125" style="155" customWidth="1"/>
    <col min="22" max="22" width="13.375" style="155" bestFit="1" customWidth="1"/>
    <col min="23" max="23" width="12.5" style="155" customWidth="1"/>
    <col min="24" max="16384" width="9" style="155"/>
  </cols>
  <sheetData>
    <row r="1" spans="1:153" s="136" customFormat="1" ht="46.5">
      <c r="A1" s="3620" t="s">
        <v>2127</v>
      </c>
      <c r="B1" s="3620"/>
      <c r="C1" s="3620"/>
      <c r="D1" s="3620"/>
      <c r="E1" s="3620"/>
      <c r="F1" s="3620"/>
      <c r="G1" s="3620"/>
      <c r="H1" s="3620"/>
      <c r="I1" s="3620"/>
      <c r="J1" s="3620"/>
      <c r="K1" s="3620"/>
      <c r="L1" s="3620"/>
      <c r="M1" s="3620"/>
      <c r="N1" s="3620"/>
      <c r="O1" s="134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135"/>
      <c r="CK1" s="135"/>
      <c r="CL1" s="135"/>
      <c r="CM1" s="135"/>
      <c r="CN1" s="135"/>
      <c r="CO1" s="135"/>
      <c r="CP1" s="135"/>
      <c r="CQ1" s="135"/>
      <c r="CR1" s="135"/>
      <c r="CS1" s="135"/>
      <c r="CT1" s="135"/>
      <c r="CU1" s="135"/>
      <c r="CV1" s="135"/>
      <c r="CW1" s="135"/>
      <c r="CX1" s="135"/>
      <c r="CY1" s="135"/>
      <c r="CZ1" s="135"/>
      <c r="DA1" s="135"/>
      <c r="DB1" s="135"/>
      <c r="DC1" s="135"/>
      <c r="DD1" s="135"/>
      <c r="DE1" s="135"/>
      <c r="DF1" s="135"/>
      <c r="DG1" s="135"/>
      <c r="DH1" s="135"/>
      <c r="DI1" s="135"/>
      <c r="DJ1" s="135"/>
      <c r="DK1" s="135"/>
      <c r="DL1" s="135"/>
      <c r="DM1" s="135"/>
      <c r="DN1" s="135"/>
      <c r="DO1" s="135"/>
      <c r="DP1" s="135"/>
      <c r="DQ1" s="135"/>
      <c r="DR1" s="135"/>
      <c r="DS1" s="135"/>
      <c r="DT1" s="135"/>
      <c r="DU1" s="135"/>
      <c r="DV1" s="135"/>
      <c r="DW1" s="135"/>
      <c r="DX1" s="135"/>
      <c r="DY1" s="135"/>
      <c r="DZ1" s="135"/>
      <c r="EA1" s="135"/>
      <c r="EB1" s="135"/>
      <c r="EC1" s="135"/>
      <c r="ED1" s="135"/>
      <c r="EE1" s="135"/>
      <c r="EF1" s="135"/>
      <c r="EG1" s="135"/>
      <c r="EH1" s="135"/>
      <c r="EI1" s="135"/>
      <c r="EJ1" s="135"/>
      <c r="EK1" s="135"/>
      <c r="EL1" s="135"/>
      <c r="EM1" s="135"/>
      <c r="EN1" s="135"/>
      <c r="EO1" s="135"/>
      <c r="EP1" s="135"/>
      <c r="EQ1" s="135"/>
      <c r="ER1" s="135"/>
      <c r="ES1" s="135"/>
      <c r="ET1" s="135"/>
      <c r="EU1" s="135"/>
      <c r="EV1" s="135"/>
      <c r="EW1" s="135"/>
    </row>
    <row r="2" spans="1:153" s="136" customFormat="1" ht="21.75" customHeight="1" thickBot="1">
      <c r="A2" s="392"/>
      <c r="B2" s="234"/>
      <c r="C2" s="234"/>
      <c r="D2" s="137"/>
      <c r="E2" s="138"/>
      <c r="F2" s="203"/>
      <c r="G2" s="208"/>
      <c r="H2" s="395"/>
      <c r="I2" s="139"/>
      <c r="J2" s="135"/>
      <c r="K2" s="139"/>
      <c r="L2" s="135"/>
      <c r="M2" s="3621" t="s">
        <v>712</v>
      </c>
      <c r="N2" s="3621"/>
      <c r="O2" s="140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5"/>
      <c r="AT2" s="135"/>
      <c r="AU2" s="135"/>
      <c r="AV2" s="135"/>
      <c r="AW2" s="135"/>
      <c r="AX2" s="135"/>
      <c r="AY2" s="135"/>
      <c r="AZ2" s="135"/>
      <c r="BA2" s="135"/>
      <c r="BB2" s="135"/>
      <c r="BC2" s="135"/>
      <c r="BD2" s="135"/>
      <c r="BE2" s="135"/>
      <c r="BF2" s="135"/>
      <c r="BG2" s="135"/>
      <c r="BH2" s="135"/>
      <c r="BI2" s="135"/>
      <c r="BJ2" s="135"/>
      <c r="BK2" s="135"/>
      <c r="BL2" s="135"/>
      <c r="BM2" s="135"/>
      <c r="BN2" s="135"/>
      <c r="BO2" s="135"/>
      <c r="BP2" s="135"/>
      <c r="BQ2" s="135"/>
      <c r="BR2" s="135"/>
      <c r="BS2" s="135"/>
      <c r="BT2" s="135"/>
      <c r="BU2" s="135"/>
      <c r="BV2" s="135"/>
      <c r="BW2" s="135"/>
      <c r="BX2" s="135"/>
      <c r="BY2" s="135"/>
      <c r="BZ2" s="135"/>
      <c r="CA2" s="135"/>
      <c r="CB2" s="135"/>
      <c r="CC2" s="135"/>
      <c r="CD2" s="135"/>
      <c r="CE2" s="135"/>
      <c r="CF2" s="135"/>
      <c r="CG2" s="135"/>
      <c r="CH2" s="135"/>
      <c r="CI2" s="135"/>
      <c r="CJ2" s="135"/>
      <c r="CK2" s="135"/>
      <c r="CL2" s="135"/>
      <c r="CM2" s="135"/>
      <c r="CN2" s="135"/>
      <c r="CO2" s="135"/>
      <c r="CP2" s="135"/>
      <c r="CQ2" s="135"/>
      <c r="CR2" s="135"/>
      <c r="CS2" s="135"/>
      <c r="CT2" s="135"/>
      <c r="CU2" s="135"/>
      <c r="CV2" s="135"/>
      <c r="CW2" s="135"/>
      <c r="CX2" s="135"/>
      <c r="CY2" s="135"/>
      <c r="CZ2" s="135"/>
      <c r="DA2" s="135"/>
      <c r="DB2" s="135"/>
      <c r="DC2" s="135"/>
      <c r="DD2" s="135"/>
      <c r="DE2" s="135"/>
      <c r="DF2" s="135"/>
      <c r="DG2" s="135"/>
      <c r="DH2" s="135"/>
      <c r="DI2" s="135"/>
      <c r="DJ2" s="135"/>
      <c r="DK2" s="135"/>
      <c r="DL2" s="135"/>
      <c r="DM2" s="135"/>
      <c r="DN2" s="135"/>
      <c r="DO2" s="135"/>
      <c r="DP2" s="135"/>
      <c r="DQ2" s="135"/>
      <c r="DR2" s="135"/>
      <c r="DS2" s="135"/>
      <c r="DT2" s="135"/>
      <c r="DU2" s="135"/>
      <c r="DV2" s="135"/>
      <c r="DW2" s="135"/>
      <c r="DX2" s="135"/>
      <c r="DY2" s="135"/>
      <c r="DZ2" s="135"/>
      <c r="EA2" s="135"/>
      <c r="EB2" s="135"/>
      <c r="EC2" s="135"/>
      <c r="ED2" s="135"/>
      <c r="EE2" s="135"/>
      <c r="EF2" s="135"/>
      <c r="EG2" s="135"/>
      <c r="EH2" s="135"/>
      <c r="EI2" s="135"/>
      <c r="EJ2" s="135"/>
      <c r="EK2" s="135"/>
      <c r="EL2" s="135"/>
      <c r="EM2" s="135"/>
      <c r="EN2" s="135"/>
      <c r="EO2" s="135"/>
      <c r="EP2" s="135"/>
      <c r="EQ2" s="135"/>
      <c r="ER2" s="135"/>
      <c r="ES2" s="135"/>
      <c r="ET2" s="135"/>
      <c r="EU2" s="135"/>
      <c r="EV2" s="135"/>
      <c r="EW2" s="135"/>
    </row>
    <row r="3" spans="1:153" s="136" customFormat="1" ht="20.100000000000001" customHeight="1">
      <c r="A3" s="3622" t="s">
        <v>713</v>
      </c>
      <c r="B3" s="3623"/>
      <c r="C3" s="3623"/>
      <c r="D3" s="3623"/>
      <c r="E3" s="3623"/>
      <c r="F3" s="3623"/>
      <c r="G3" s="3624"/>
      <c r="H3" s="3625" t="s">
        <v>714</v>
      </c>
      <c r="I3" s="3626"/>
      <c r="J3" s="3626"/>
      <c r="K3" s="3626"/>
      <c r="L3" s="3626"/>
      <c r="M3" s="3626"/>
      <c r="N3" s="3627"/>
      <c r="O3" s="140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  <c r="BB3" s="135"/>
      <c r="BC3" s="135"/>
      <c r="BD3" s="135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5"/>
      <c r="CG3" s="135"/>
      <c r="CH3" s="135"/>
      <c r="CI3" s="135"/>
      <c r="CJ3" s="135"/>
      <c r="CK3" s="135"/>
      <c r="CL3" s="135"/>
      <c r="CM3" s="135"/>
      <c r="CN3" s="135"/>
      <c r="CO3" s="135"/>
      <c r="CP3" s="135"/>
      <c r="CQ3" s="135"/>
      <c r="CR3" s="135"/>
      <c r="CS3" s="135"/>
      <c r="CT3" s="135"/>
      <c r="CU3" s="135"/>
      <c r="CV3" s="135"/>
      <c r="CW3" s="135"/>
      <c r="CX3" s="135"/>
      <c r="CY3" s="135"/>
      <c r="CZ3" s="135"/>
      <c r="DA3" s="135"/>
      <c r="DB3" s="135"/>
      <c r="DC3" s="135"/>
      <c r="DD3" s="135"/>
      <c r="DE3" s="135"/>
      <c r="DF3" s="135"/>
      <c r="DG3" s="135"/>
      <c r="DH3" s="135"/>
      <c r="DI3" s="135"/>
      <c r="DJ3" s="135"/>
      <c r="DK3" s="135"/>
      <c r="DL3" s="135"/>
      <c r="DM3" s="135"/>
      <c r="DN3" s="135"/>
      <c r="DO3" s="135"/>
      <c r="DP3" s="135"/>
      <c r="DQ3" s="135"/>
      <c r="DR3" s="135"/>
      <c r="DS3" s="135"/>
      <c r="DT3" s="135"/>
      <c r="DU3" s="135"/>
      <c r="DV3" s="135"/>
      <c r="DW3" s="135"/>
      <c r="DX3" s="135"/>
      <c r="DY3" s="135"/>
      <c r="DZ3" s="135"/>
      <c r="EA3" s="135"/>
      <c r="EB3" s="135"/>
      <c r="EC3" s="135"/>
      <c r="ED3" s="135"/>
      <c r="EE3" s="135"/>
      <c r="EF3" s="135"/>
      <c r="EG3" s="135"/>
      <c r="EH3" s="135"/>
      <c r="EI3" s="135"/>
      <c r="EJ3" s="135"/>
      <c r="EK3" s="135"/>
      <c r="EL3" s="135"/>
      <c r="EM3" s="135"/>
      <c r="EN3" s="135"/>
      <c r="EO3" s="135"/>
      <c r="EP3" s="135"/>
      <c r="EQ3" s="135"/>
      <c r="ER3" s="135"/>
      <c r="ES3" s="135"/>
      <c r="ET3" s="135"/>
      <c r="EU3" s="135"/>
      <c r="EV3" s="135"/>
      <c r="EW3" s="135"/>
    </row>
    <row r="4" spans="1:153" s="143" customFormat="1" ht="20.100000000000001" customHeight="1">
      <c r="A4" s="3166" t="s">
        <v>715</v>
      </c>
      <c r="B4" s="3631" t="s">
        <v>1559</v>
      </c>
      <c r="C4" s="3632"/>
      <c r="D4" s="3631" t="s">
        <v>1562</v>
      </c>
      <c r="E4" s="3632"/>
      <c r="F4" s="3631" t="s">
        <v>628</v>
      </c>
      <c r="G4" s="3633"/>
      <c r="H4" s="3167" t="str">
        <f>A4</f>
        <v>예산과목</v>
      </c>
      <c r="I4" s="3628" t="str">
        <f>B4</f>
        <v>2019년예산액(A)</v>
      </c>
      <c r="J4" s="3629"/>
      <c r="K4" s="3628" t="str">
        <f>D4</f>
        <v>2018년예산액(B)</v>
      </c>
      <c r="L4" s="3629"/>
      <c r="M4" s="3628" t="s">
        <v>628</v>
      </c>
      <c r="N4" s="3630"/>
      <c r="O4" s="141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2"/>
      <c r="BT4" s="142"/>
      <c r="BU4" s="142"/>
      <c r="BV4" s="142"/>
      <c r="BW4" s="142"/>
      <c r="BX4" s="142"/>
      <c r="BY4" s="142"/>
      <c r="BZ4" s="142"/>
      <c r="CA4" s="142"/>
      <c r="CB4" s="142"/>
      <c r="CC4" s="142"/>
      <c r="CD4" s="142"/>
      <c r="CE4" s="142"/>
      <c r="CF4" s="142"/>
      <c r="CG4" s="142"/>
      <c r="CH4" s="142"/>
      <c r="CI4" s="142"/>
      <c r="CJ4" s="142"/>
      <c r="CK4" s="142"/>
      <c r="CL4" s="142"/>
      <c r="CM4" s="142"/>
      <c r="CN4" s="142"/>
      <c r="CO4" s="142"/>
      <c r="CP4" s="142"/>
      <c r="CQ4" s="142"/>
      <c r="CR4" s="142"/>
      <c r="CS4" s="142"/>
      <c r="CT4" s="142"/>
      <c r="CU4" s="142"/>
      <c r="CV4" s="142"/>
      <c r="CW4" s="142"/>
      <c r="CX4" s="142"/>
      <c r="CY4" s="142"/>
      <c r="CZ4" s="142"/>
      <c r="DA4" s="142"/>
      <c r="DB4" s="142"/>
      <c r="DC4" s="142"/>
      <c r="DD4" s="142"/>
      <c r="DE4" s="142"/>
      <c r="DF4" s="142"/>
      <c r="DG4" s="142"/>
      <c r="DH4" s="142"/>
      <c r="DI4" s="142"/>
      <c r="DJ4" s="142"/>
      <c r="DK4" s="142"/>
      <c r="DL4" s="142"/>
      <c r="DM4" s="142"/>
      <c r="DN4" s="142"/>
      <c r="DO4" s="142"/>
      <c r="DP4" s="142"/>
      <c r="DQ4" s="142"/>
      <c r="DR4" s="142"/>
      <c r="DS4" s="142"/>
      <c r="DT4" s="142"/>
      <c r="DU4" s="142"/>
      <c r="DV4" s="142"/>
      <c r="DW4" s="142"/>
      <c r="DX4" s="142"/>
      <c r="DY4" s="142"/>
      <c r="DZ4" s="142"/>
      <c r="EA4" s="142"/>
      <c r="EB4" s="142"/>
      <c r="EC4" s="142"/>
      <c r="ED4" s="142"/>
      <c r="EE4" s="142"/>
      <c r="EF4" s="142"/>
      <c r="EG4" s="142"/>
      <c r="EH4" s="142"/>
      <c r="EI4" s="142"/>
      <c r="EJ4" s="142"/>
      <c r="EK4" s="142"/>
      <c r="EL4" s="142"/>
      <c r="EM4" s="142"/>
      <c r="EN4" s="142"/>
      <c r="EO4" s="142"/>
      <c r="EP4" s="142"/>
      <c r="EQ4" s="142"/>
      <c r="ER4" s="142"/>
      <c r="ES4" s="142"/>
      <c r="ET4" s="142"/>
      <c r="EU4" s="142"/>
      <c r="EV4" s="142"/>
      <c r="EW4" s="142"/>
    </row>
    <row r="5" spans="1:153" s="143" customFormat="1" ht="20.100000000000001" customHeight="1" thickBot="1">
      <c r="A5" s="3168"/>
      <c r="B5" s="348" t="s">
        <v>633</v>
      </c>
      <c r="C5" s="348" t="s">
        <v>716</v>
      </c>
      <c r="D5" s="348" t="s">
        <v>633</v>
      </c>
      <c r="E5" s="348" t="s">
        <v>567</v>
      </c>
      <c r="F5" s="349" t="s">
        <v>717</v>
      </c>
      <c r="G5" s="350" t="s">
        <v>718</v>
      </c>
      <c r="H5" s="3169"/>
      <c r="I5" s="351" t="s">
        <v>633</v>
      </c>
      <c r="J5" s="352" t="s">
        <v>567</v>
      </c>
      <c r="K5" s="351" t="s">
        <v>633</v>
      </c>
      <c r="L5" s="352" t="s">
        <v>716</v>
      </c>
      <c r="M5" s="353" t="s">
        <v>719</v>
      </c>
      <c r="N5" s="354" t="s">
        <v>720</v>
      </c>
      <c r="O5" s="141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42"/>
      <c r="AN5" s="142"/>
      <c r="AO5" s="142"/>
      <c r="AP5" s="142"/>
      <c r="AQ5" s="142"/>
      <c r="AR5" s="142"/>
      <c r="AS5" s="142"/>
      <c r="AT5" s="142"/>
      <c r="AU5" s="142"/>
      <c r="AV5" s="142"/>
      <c r="AW5" s="142"/>
      <c r="AX5" s="142"/>
      <c r="AY5" s="142"/>
      <c r="AZ5" s="142"/>
      <c r="BA5" s="142"/>
      <c r="BB5" s="142"/>
      <c r="BC5" s="142"/>
      <c r="BD5" s="142"/>
      <c r="BE5" s="142"/>
      <c r="BF5" s="142"/>
      <c r="BG5" s="142"/>
      <c r="BH5" s="142"/>
      <c r="BI5" s="142"/>
      <c r="BJ5" s="142"/>
      <c r="BK5" s="142"/>
      <c r="BL5" s="142"/>
      <c r="BM5" s="142"/>
      <c r="BN5" s="142"/>
      <c r="BO5" s="142"/>
      <c r="BP5" s="142"/>
      <c r="BQ5" s="142"/>
      <c r="BR5" s="142"/>
      <c r="BS5" s="142"/>
      <c r="BT5" s="142"/>
      <c r="BU5" s="142"/>
      <c r="BV5" s="142"/>
      <c r="BW5" s="142"/>
      <c r="BX5" s="142"/>
      <c r="BY5" s="142"/>
      <c r="BZ5" s="142"/>
      <c r="CA5" s="142"/>
      <c r="CB5" s="142"/>
      <c r="CC5" s="142"/>
      <c r="CD5" s="142"/>
      <c r="CE5" s="142"/>
      <c r="CF5" s="142"/>
      <c r="CG5" s="142"/>
      <c r="CH5" s="142"/>
      <c r="CI5" s="142"/>
      <c r="CJ5" s="142"/>
      <c r="CK5" s="142"/>
      <c r="CL5" s="142"/>
      <c r="CM5" s="142"/>
      <c r="CN5" s="142"/>
      <c r="CO5" s="142"/>
      <c r="CP5" s="142"/>
      <c r="CQ5" s="142"/>
      <c r="CR5" s="142"/>
      <c r="CS5" s="142"/>
      <c r="CT5" s="142"/>
      <c r="CU5" s="142"/>
      <c r="CV5" s="142"/>
      <c r="CW5" s="142"/>
      <c r="CX5" s="142"/>
      <c r="CY5" s="142"/>
      <c r="CZ5" s="142"/>
      <c r="DA5" s="142"/>
      <c r="DB5" s="142"/>
      <c r="DC5" s="142"/>
      <c r="DD5" s="142"/>
      <c r="DE5" s="142"/>
      <c r="DF5" s="142"/>
      <c r="DG5" s="142"/>
      <c r="DH5" s="142"/>
      <c r="DI5" s="142"/>
      <c r="DJ5" s="142"/>
      <c r="DK5" s="142"/>
      <c r="DL5" s="142"/>
      <c r="DM5" s="142"/>
      <c r="DN5" s="142"/>
      <c r="DO5" s="142"/>
      <c r="DP5" s="142"/>
      <c r="DQ5" s="142"/>
      <c r="DR5" s="142"/>
      <c r="DS5" s="142"/>
      <c r="DT5" s="142"/>
      <c r="DU5" s="142"/>
      <c r="DV5" s="142"/>
      <c r="DW5" s="142"/>
      <c r="DX5" s="142"/>
      <c r="DY5" s="142"/>
      <c r="DZ5" s="142"/>
      <c r="EA5" s="142"/>
      <c r="EB5" s="142"/>
      <c r="EC5" s="142"/>
      <c r="ED5" s="142"/>
      <c r="EE5" s="142"/>
      <c r="EF5" s="142"/>
      <c r="EG5" s="142"/>
      <c r="EH5" s="142"/>
      <c r="EI5" s="142"/>
      <c r="EJ5" s="142"/>
      <c r="EK5" s="142"/>
      <c r="EL5" s="142"/>
      <c r="EM5" s="142"/>
      <c r="EN5" s="142"/>
      <c r="EO5" s="142"/>
      <c r="EP5" s="142"/>
      <c r="EQ5" s="142"/>
      <c r="ER5" s="142"/>
      <c r="ES5" s="142"/>
      <c r="ET5" s="142"/>
      <c r="EU5" s="142"/>
      <c r="EV5" s="142"/>
      <c r="EW5" s="142"/>
    </row>
    <row r="6" spans="1:153" s="143" customFormat="1" ht="27.75" customHeight="1">
      <c r="A6" s="3170" t="s">
        <v>721</v>
      </c>
      <c r="B6" s="355">
        <f>B7+B72</f>
        <v>8711827000</v>
      </c>
      <c r="C6" s="356">
        <f>C7+C72</f>
        <v>1</v>
      </c>
      <c r="D6" s="355">
        <f>D7+D72</f>
        <v>10222359000</v>
      </c>
      <c r="E6" s="356">
        <f>E7+E72</f>
        <v>1</v>
      </c>
      <c r="F6" s="357">
        <f>B6-D6</f>
        <v>-1510532000</v>
      </c>
      <c r="G6" s="358">
        <f>F6/D6</f>
        <v>-0.14776745758977941</v>
      </c>
      <c r="H6" s="3170" t="str">
        <f>A6</f>
        <v>합      계</v>
      </c>
      <c r="I6" s="355">
        <f>I7+I72</f>
        <v>8711827000</v>
      </c>
      <c r="J6" s="356">
        <f>J7+J72</f>
        <v>1</v>
      </c>
      <c r="K6" s="355">
        <f>K7+K72</f>
        <v>10222359200</v>
      </c>
      <c r="L6" s="356">
        <f>L7+L72</f>
        <v>1</v>
      </c>
      <c r="M6" s="357">
        <f>I6-K6</f>
        <v>-1510532200</v>
      </c>
      <c r="N6" s="359">
        <f>M6/K6</f>
        <v>-0.14776747426367096</v>
      </c>
      <c r="O6" s="141"/>
      <c r="P6" s="142"/>
      <c r="Q6" s="142"/>
      <c r="R6" s="163"/>
      <c r="S6" s="142"/>
      <c r="T6" s="163">
        <f>I6-P6</f>
        <v>8711827000</v>
      </c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142"/>
      <c r="AR6" s="142"/>
      <c r="AS6" s="142"/>
      <c r="AT6" s="142"/>
      <c r="AU6" s="142"/>
      <c r="AV6" s="142"/>
      <c r="AW6" s="142"/>
      <c r="AX6" s="142"/>
      <c r="AY6" s="142"/>
      <c r="AZ6" s="142"/>
      <c r="BA6" s="142"/>
      <c r="BB6" s="142"/>
      <c r="BC6" s="142"/>
      <c r="BD6" s="142"/>
      <c r="BE6" s="142"/>
      <c r="BF6" s="142"/>
      <c r="BG6" s="142"/>
      <c r="BH6" s="142"/>
      <c r="BI6" s="142"/>
      <c r="BJ6" s="142"/>
      <c r="BK6" s="142"/>
      <c r="BL6" s="142"/>
      <c r="BM6" s="142"/>
      <c r="BN6" s="142"/>
      <c r="BO6" s="142"/>
      <c r="BP6" s="142"/>
      <c r="BQ6" s="142"/>
      <c r="BR6" s="142"/>
      <c r="BS6" s="142"/>
      <c r="BT6" s="142"/>
      <c r="BU6" s="142"/>
      <c r="BV6" s="142"/>
      <c r="BW6" s="142"/>
      <c r="BX6" s="142"/>
      <c r="BY6" s="142"/>
      <c r="BZ6" s="142"/>
      <c r="CA6" s="142"/>
      <c r="CB6" s="142"/>
      <c r="CC6" s="142"/>
      <c r="CD6" s="142"/>
      <c r="CE6" s="142"/>
      <c r="CF6" s="142"/>
      <c r="CG6" s="142"/>
      <c r="CH6" s="142"/>
      <c r="CI6" s="142"/>
      <c r="CJ6" s="142"/>
      <c r="CK6" s="142"/>
      <c r="CL6" s="142"/>
      <c r="CM6" s="142"/>
      <c r="CN6" s="142"/>
      <c r="CO6" s="142"/>
      <c r="CP6" s="142"/>
      <c r="CQ6" s="142"/>
      <c r="CR6" s="142"/>
      <c r="CS6" s="142"/>
      <c r="CT6" s="142"/>
      <c r="CU6" s="142"/>
      <c r="CV6" s="142"/>
      <c r="CW6" s="142"/>
      <c r="CX6" s="142"/>
      <c r="CY6" s="142"/>
      <c r="CZ6" s="142"/>
      <c r="DA6" s="142"/>
      <c r="DB6" s="142"/>
      <c r="DC6" s="142"/>
      <c r="DD6" s="142"/>
      <c r="DE6" s="142"/>
      <c r="DF6" s="142"/>
      <c r="DG6" s="142"/>
      <c r="DH6" s="142"/>
      <c r="DI6" s="142"/>
      <c r="DJ6" s="142"/>
      <c r="DK6" s="142"/>
      <c r="DL6" s="142"/>
      <c r="DM6" s="142"/>
      <c r="DN6" s="142"/>
      <c r="DO6" s="142"/>
      <c r="DP6" s="142"/>
      <c r="DQ6" s="142"/>
      <c r="DR6" s="142"/>
      <c r="DS6" s="142"/>
      <c r="DT6" s="142"/>
      <c r="DU6" s="142"/>
      <c r="DV6" s="142"/>
      <c r="DW6" s="142"/>
      <c r="DX6" s="142"/>
      <c r="DY6" s="142"/>
      <c r="DZ6" s="142"/>
      <c r="EA6" s="142"/>
      <c r="EB6" s="142"/>
      <c r="EC6" s="142"/>
      <c r="ED6" s="142"/>
      <c r="EE6" s="142"/>
      <c r="EF6" s="142"/>
      <c r="EG6" s="142"/>
      <c r="EH6" s="142"/>
      <c r="EI6" s="142"/>
      <c r="EJ6" s="142"/>
      <c r="EK6" s="142"/>
      <c r="EL6" s="142"/>
      <c r="EM6" s="142"/>
      <c r="EN6" s="142"/>
      <c r="EO6" s="142"/>
      <c r="EP6" s="142"/>
      <c r="EQ6" s="142"/>
      <c r="ER6" s="142"/>
      <c r="ES6" s="142"/>
      <c r="ET6" s="142"/>
      <c r="EU6" s="142"/>
      <c r="EV6" s="142"/>
      <c r="EW6" s="142"/>
    </row>
    <row r="7" spans="1:153" s="143" customFormat="1" ht="27" customHeight="1">
      <c r="A7" s="3171" t="s">
        <v>704</v>
      </c>
      <c r="B7" s="360">
        <f>SUM(B8,B16,B22,B30,B32,B34,B39,B52,B54)</f>
        <v>6366834000</v>
      </c>
      <c r="C7" s="361">
        <f>B7/$B$6</f>
        <v>0.73082649598069382</v>
      </c>
      <c r="D7" s="360">
        <f>SUM(D8,D16,D22,D30,D32,D34,D39,D52,D54)</f>
        <v>8265090000</v>
      </c>
      <c r="E7" s="361">
        <f>D7/$D$6</f>
        <v>0.80853059455258813</v>
      </c>
      <c r="F7" s="362">
        <f>F8+F16+F22+F30+F33+F44+F57+F59+F61+F37</f>
        <v>-1692732000</v>
      </c>
      <c r="G7" s="363">
        <f>F7/D7</f>
        <v>-0.20480502934632291</v>
      </c>
      <c r="H7" s="3171" t="s">
        <v>2077</v>
      </c>
      <c r="I7" s="360">
        <f>SUM(I8,I21,I34,I47,I55,I57,I59,I68,I70)</f>
        <v>6314513000</v>
      </c>
      <c r="J7" s="364">
        <f>I7/$I$6</f>
        <v>0.72482075229455312</v>
      </c>
      <c r="K7" s="360">
        <f>SUM(K8,K21,K34,K47,K55,K57,K59,K68,K70)</f>
        <v>8034222200</v>
      </c>
      <c r="L7" s="364">
        <f>K7/$K$6</f>
        <v>0.78594598788897962</v>
      </c>
      <c r="M7" s="362">
        <f>SUM(M8,M21,M34,M47,M55,M57,M59,M68,M70)</f>
        <v>-1719709200</v>
      </c>
      <c r="N7" s="365">
        <f>M7/K7</f>
        <v>-0.21404800081332079</v>
      </c>
      <c r="O7" s="141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  <c r="AU7" s="142"/>
      <c r="AV7" s="142"/>
      <c r="AW7" s="142"/>
      <c r="AX7" s="142"/>
      <c r="AY7" s="142"/>
      <c r="AZ7" s="142"/>
      <c r="BA7" s="142"/>
      <c r="BB7" s="142"/>
      <c r="BC7" s="142"/>
      <c r="BD7" s="142"/>
      <c r="BE7" s="142"/>
      <c r="BF7" s="142"/>
      <c r="BG7" s="142"/>
      <c r="BH7" s="142"/>
      <c r="BI7" s="142"/>
      <c r="BJ7" s="142"/>
      <c r="BK7" s="142"/>
      <c r="BL7" s="142"/>
      <c r="BM7" s="142"/>
      <c r="BN7" s="142"/>
      <c r="BO7" s="142"/>
      <c r="BP7" s="142"/>
      <c r="BQ7" s="142"/>
      <c r="BR7" s="142"/>
      <c r="BS7" s="142"/>
      <c r="BT7" s="142"/>
      <c r="BU7" s="142"/>
      <c r="BV7" s="142"/>
      <c r="BW7" s="142"/>
      <c r="BX7" s="142"/>
      <c r="BY7" s="142"/>
      <c r="BZ7" s="142"/>
      <c r="CA7" s="142"/>
      <c r="CB7" s="142"/>
      <c r="CC7" s="142"/>
      <c r="CD7" s="142"/>
      <c r="CE7" s="142"/>
      <c r="CF7" s="142"/>
      <c r="CG7" s="142"/>
      <c r="CH7" s="142"/>
      <c r="CI7" s="142"/>
      <c r="CJ7" s="142"/>
      <c r="CK7" s="142"/>
      <c r="CL7" s="142"/>
      <c r="CM7" s="142"/>
      <c r="CN7" s="142"/>
      <c r="CO7" s="142"/>
      <c r="CP7" s="142"/>
      <c r="CQ7" s="142"/>
      <c r="CR7" s="142"/>
      <c r="CS7" s="142"/>
      <c r="CT7" s="142"/>
      <c r="CU7" s="142"/>
      <c r="CV7" s="142"/>
      <c r="CW7" s="142"/>
      <c r="CX7" s="142"/>
      <c r="CY7" s="142"/>
      <c r="CZ7" s="142"/>
      <c r="DA7" s="142"/>
      <c r="DB7" s="142"/>
      <c r="DC7" s="142"/>
      <c r="DD7" s="142"/>
      <c r="DE7" s="142"/>
      <c r="DF7" s="142"/>
      <c r="DG7" s="142"/>
      <c r="DH7" s="142"/>
      <c r="DI7" s="142"/>
      <c r="DJ7" s="142"/>
      <c r="DK7" s="142"/>
      <c r="DL7" s="142"/>
      <c r="DM7" s="142"/>
      <c r="DN7" s="142"/>
      <c r="DO7" s="142"/>
      <c r="DP7" s="142"/>
      <c r="DQ7" s="142"/>
      <c r="DR7" s="142"/>
      <c r="DS7" s="142"/>
      <c r="DT7" s="142"/>
      <c r="DU7" s="142"/>
      <c r="DV7" s="142"/>
      <c r="DW7" s="142"/>
      <c r="DX7" s="142"/>
      <c r="DY7" s="142"/>
      <c r="DZ7" s="142"/>
      <c r="EA7" s="142"/>
      <c r="EB7" s="142"/>
      <c r="EC7" s="142"/>
      <c r="ED7" s="142"/>
      <c r="EE7" s="142"/>
      <c r="EF7" s="142"/>
      <c r="EG7" s="142"/>
      <c r="EH7" s="142"/>
      <c r="EI7" s="142"/>
      <c r="EJ7" s="142"/>
      <c r="EK7" s="142"/>
      <c r="EL7" s="142"/>
      <c r="EM7" s="142"/>
      <c r="EN7" s="142"/>
      <c r="EO7" s="142"/>
      <c r="EP7" s="142"/>
      <c r="EQ7" s="142"/>
      <c r="ER7" s="142"/>
      <c r="ES7" s="142"/>
      <c r="ET7" s="142"/>
      <c r="EU7" s="142"/>
      <c r="EV7" s="142"/>
      <c r="EW7" s="142"/>
    </row>
    <row r="8" spans="1:153" s="146" customFormat="1" ht="27" customHeight="1">
      <c r="A8" s="3172" t="s">
        <v>2045</v>
      </c>
      <c r="B8" s="279">
        <f>SUM(B9:B15)</f>
        <v>4313212000</v>
      </c>
      <c r="C8" s="280">
        <f t="shared" ref="C8:C14" si="0">+B8/$B$6</f>
        <v>0.495098444907136</v>
      </c>
      <c r="D8" s="279">
        <f>SUM(D9:D15)</f>
        <v>4598613000</v>
      </c>
      <c r="E8" s="280">
        <f>+D8/$D$6</f>
        <v>0.44985829591780135</v>
      </c>
      <c r="F8" s="281">
        <f>SUM(F9:F15)</f>
        <v>-285401000</v>
      </c>
      <c r="G8" s="282">
        <f>+F8/D8</f>
        <v>-6.2062408817615225E-2</v>
      </c>
      <c r="H8" s="3173" t="s">
        <v>2076</v>
      </c>
      <c r="I8" s="366">
        <f>SUM(I9:I20)</f>
        <v>3523140000</v>
      </c>
      <c r="J8" s="367">
        <f>I8/$I$6</f>
        <v>0.40440885706293295</v>
      </c>
      <c r="K8" s="366">
        <f>SUM(K9:K20)</f>
        <v>3101397000</v>
      </c>
      <c r="L8" s="367">
        <f>K8/$K$6</f>
        <v>0.30339346713623605</v>
      </c>
      <c r="M8" s="368">
        <f>I8-K8</f>
        <v>421743000</v>
      </c>
      <c r="N8" s="369">
        <f>M8/K8</f>
        <v>0.13598484811844469</v>
      </c>
      <c r="O8" s="144"/>
      <c r="P8" s="133"/>
      <c r="Q8" s="79" t="s">
        <v>2116</v>
      </c>
      <c r="R8" s="79" t="s">
        <v>2117</v>
      </c>
      <c r="S8" s="79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  <c r="BU8" s="145"/>
      <c r="BV8" s="145"/>
      <c r="BW8" s="145"/>
      <c r="BX8" s="145"/>
      <c r="BY8" s="145"/>
      <c r="BZ8" s="145"/>
      <c r="CA8" s="145"/>
      <c r="CB8" s="145"/>
      <c r="CC8" s="145"/>
      <c r="CD8" s="145"/>
      <c r="CE8" s="145"/>
      <c r="CF8" s="145"/>
      <c r="CG8" s="145"/>
      <c r="CH8" s="145"/>
      <c r="CI8" s="145"/>
      <c r="CJ8" s="145"/>
      <c r="CK8" s="145"/>
      <c r="CL8" s="145"/>
      <c r="CM8" s="145"/>
      <c r="CN8" s="145"/>
      <c r="CO8" s="145"/>
      <c r="CP8" s="145"/>
      <c r="CQ8" s="145"/>
      <c r="CR8" s="145"/>
      <c r="CS8" s="145"/>
      <c r="CT8" s="145"/>
      <c r="CU8" s="145"/>
      <c r="CV8" s="145"/>
      <c r="CW8" s="145"/>
      <c r="CX8" s="145"/>
      <c r="CY8" s="145"/>
      <c r="CZ8" s="145"/>
      <c r="DA8" s="145"/>
      <c r="DB8" s="145"/>
      <c r="DC8" s="145"/>
      <c r="DD8" s="145"/>
      <c r="DE8" s="145"/>
      <c r="DF8" s="145"/>
      <c r="DG8" s="145"/>
      <c r="DH8" s="145"/>
      <c r="DI8" s="145"/>
      <c r="DJ8" s="145"/>
      <c r="DK8" s="145"/>
      <c r="DL8" s="145"/>
      <c r="DM8" s="145"/>
      <c r="DN8" s="145"/>
      <c r="DO8" s="145"/>
      <c r="DP8" s="145"/>
      <c r="DQ8" s="145"/>
      <c r="DR8" s="145"/>
      <c r="DS8" s="145"/>
      <c r="DT8" s="145"/>
      <c r="DU8" s="145"/>
      <c r="DV8" s="145"/>
      <c r="DW8" s="145"/>
      <c r="DX8" s="145"/>
      <c r="DY8" s="145"/>
      <c r="DZ8" s="145"/>
      <c r="EA8" s="145"/>
      <c r="EB8" s="145"/>
      <c r="EC8" s="145"/>
      <c r="ED8" s="145"/>
      <c r="EE8" s="145"/>
      <c r="EF8" s="145"/>
      <c r="EG8" s="145"/>
      <c r="EH8" s="145"/>
      <c r="EI8" s="145"/>
      <c r="EJ8" s="145"/>
      <c r="EK8" s="145"/>
      <c r="EL8" s="145"/>
      <c r="EM8" s="145"/>
      <c r="EN8" s="145"/>
      <c r="EO8" s="145"/>
      <c r="EP8" s="145"/>
      <c r="EQ8" s="145"/>
      <c r="ER8" s="145"/>
      <c r="ES8" s="145"/>
      <c r="ET8" s="145"/>
      <c r="EU8" s="145"/>
      <c r="EV8" s="145"/>
      <c r="EW8" s="145"/>
    </row>
    <row r="9" spans="1:153" s="143" customFormat="1" ht="27" customHeight="1">
      <c r="A9" s="3174" t="s">
        <v>572</v>
      </c>
      <c r="B9" s="3106">
        <f>세입예산총괄표3!B10</f>
        <v>3222569000</v>
      </c>
      <c r="C9" s="3091">
        <f>+B9/$B$6</f>
        <v>0.36990736845440114</v>
      </c>
      <c r="D9" s="3106">
        <v>1600000000</v>
      </c>
      <c r="E9" s="3091">
        <f>+D9/$D$6</f>
        <v>0.15651964482953495</v>
      </c>
      <c r="F9" s="3107">
        <f>+B9-D9</f>
        <v>1622569000</v>
      </c>
      <c r="G9" s="3093">
        <f>+F9/D9</f>
        <v>1.014105625</v>
      </c>
      <c r="H9" s="3175" t="s">
        <v>574</v>
      </c>
      <c r="I9" s="3176">
        <f>'예산세출(사무국)'!Q8</f>
        <v>2200111000</v>
      </c>
      <c r="J9" s="3177">
        <f>I9/$I$6</f>
        <v>0.25254300848719791</v>
      </c>
      <c r="K9" s="3176">
        <v>569927000</v>
      </c>
      <c r="L9" s="3177">
        <f>K9/$K$6</f>
        <v>5.5752981170921874E-2</v>
      </c>
      <c r="M9" s="3178">
        <f>I9-K9</f>
        <v>1630184000</v>
      </c>
      <c r="N9" s="3179">
        <f>M9/K9</f>
        <v>2.8603382538465452</v>
      </c>
      <c r="O9" s="144"/>
      <c r="P9" s="82" t="s">
        <v>574</v>
      </c>
      <c r="Q9" s="166">
        <f>SUMIFS($B$9:$B$10000,$A$9:$A$10000,"사무국")</f>
        <v>3623469000</v>
      </c>
      <c r="R9" s="167">
        <f>SUMIF($A$9:$A$10000,"사무국",$D$9:$D$10000)</f>
        <v>2147350000</v>
      </c>
      <c r="S9" s="162">
        <f>Q9-R9</f>
        <v>1476119000</v>
      </c>
      <c r="T9" s="170"/>
      <c r="U9" s="170" t="s">
        <v>574</v>
      </c>
      <c r="V9" s="169">
        <f>SUMIFS($I$8:$I$136,$H$8:$H$136,"사무국")</f>
        <v>3623469000</v>
      </c>
      <c r="W9" s="169">
        <f>SUMIFS($K$8:$K$136,$H$8:$H$136,"사무국")</f>
        <v>2147350000</v>
      </c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  <c r="AP9" s="142"/>
      <c r="AQ9" s="142"/>
      <c r="AR9" s="142"/>
      <c r="AS9" s="142"/>
      <c r="AT9" s="142"/>
      <c r="AU9" s="142"/>
      <c r="AV9" s="142"/>
      <c r="AW9" s="142"/>
      <c r="AX9" s="142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2"/>
      <c r="BW9" s="142"/>
      <c r="BX9" s="142"/>
      <c r="BY9" s="142"/>
      <c r="BZ9" s="142"/>
      <c r="CA9" s="142"/>
      <c r="CB9" s="142"/>
      <c r="CC9" s="142"/>
      <c r="CD9" s="142"/>
      <c r="CE9" s="142"/>
      <c r="CF9" s="142"/>
      <c r="CG9" s="142"/>
      <c r="CH9" s="142"/>
      <c r="CI9" s="142"/>
      <c r="CJ9" s="142"/>
      <c r="CK9" s="142"/>
      <c r="CL9" s="142"/>
      <c r="CM9" s="142"/>
      <c r="CN9" s="142"/>
      <c r="CO9" s="142"/>
      <c r="CP9" s="142"/>
      <c r="CQ9" s="142"/>
      <c r="CR9" s="142"/>
      <c r="CS9" s="142"/>
      <c r="CT9" s="142"/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2"/>
      <c r="DF9" s="142"/>
      <c r="DG9" s="142"/>
      <c r="DH9" s="142"/>
      <c r="DI9" s="142"/>
      <c r="DJ9" s="142"/>
      <c r="DK9" s="142"/>
      <c r="DL9" s="142"/>
      <c r="DM9" s="142"/>
      <c r="DN9" s="142"/>
      <c r="DO9" s="142"/>
      <c r="DP9" s="142"/>
      <c r="DQ9" s="142"/>
      <c r="DR9" s="142"/>
      <c r="DS9" s="142"/>
      <c r="DT9" s="142"/>
      <c r="DU9" s="142"/>
      <c r="DV9" s="142"/>
      <c r="DW9" s="142"/>
      <c r="DX9" s="142"/>
      <c r="DY9" s="142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</row>
    <row r="10" spans="1:153" s="143" customFormat="1" ht="27" customHeight="1">
      <c r="A10" s="3180" t="s">
        <v>2046</v>
      </c>
      <c r="B10" s="3108">
        <f>세입예산총괄표3!B11</f>
        <v>318913000</v>
      </c>
      <c r="C10" s="3096">
        <f t="shared" si="0"/>
        <v>3.6606902317963846E-2</v>
      </c>
      <c r="D10" s="3108">
        <v>861000000</v>
      </c>
      <c r="E10" s="3091">
        <f t="shared" ref="E10:E20" si="1">+D10/$D$6</f>
        <v>8.4227133873893495E-2</v>
      </c>
      <c r="F10" s="3107">
        <f t="shared" ref="F10:F15" si="2">+B10-D10</f>
        <v>-542087000</v>
      </c>
      <c r="G10" s="3098">
        <f t="shared" ref="G10:G21" si="3">+F10/D10</f>
        <v>-0.62960162601626013</v>
      </c>
      <c r="H10" s="3181" t="s">
        <v>576</v>
      </c>
      <c r="I10" s="3182">
        <f>세출예산총괄표4!B11</f>
        <v>12925000</v>
      </c>
      <c r="J10" s="3183">
        <f>I10/$I$6</f>
        <v>1.4836153197257016E-3</v>
      </c>
      <c r="K10" s="3182">
        <v>518616000</v>
      </c>
      <c r="L10" s="3183">
        <f>K10/$K$6</f>
        <v>5.0733494084222751E-2</v>
      </c>
      <c r="M10" s="3184">
        <f>I10-K10</f>
        <v>-505691000</v>
      </c>
      <c r="N10" s="3185">
        <f>M10/K10</f>
        <v>-0.97507789964058189</v>
      </c>
      <c r="O10" s="144"/>
      <c r="P10" s="82" t="s">
        <v>576</v>
      </c>
      <c r="Q10" s="166">
        <f>SUMIFS($B$9:$B$10000,$A$9:$A$10000,"마두청소년수련관")</f>
        <v>1143863000</v>
      </c>
      <c r="R10" s="167">
        <f>SUMIF($A$9:$A$10000,"마두청소년수련관",$D$9:$D$10000)</f>
        <v>1644864000</v>
      </c>
      <c r="S10" s="162">
        <f t="shared" ref="S10:S20" si="4">Q10-R10</f>
        <v>-501001000</v>
      </c>
      <c r="T10" s="170"/>
      <c r="U10" s="170" t="s">
        <v>2119</v>
      </c>
      <c r="V10" s="169">
        <f>SUMIFS($I$8:$I$136,$H$8:$H$136,"마두청소년수련관")</f>
        <v>1143863000</v>
      </c>
      <c r="W10" s="169">
        <f>SUMIFS($K$8:$K$136,$H$8:$H$136,"마두청소년수련관")</f>
        <v>1644864000</v>
      </c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/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B10" s="142"/>
      <c r="CC10" s="142"/>
      <c r="CD10" s="142"/>
      <c r="CE10" s="142"/>
      <c r="CF10" s="142"/>
      <c r="CG10" s="142"/>
      <c r="CH10" s="142"/>
      <c r="CI10" s="142"/>
      <c r="CJ10" s="142"/>
      <c r="CK10" s="142"/>
      <c r="CL10" s="142"/>
      <c r="CM10" s="142"/>
      <c r="CN10" s="142"/>
      <c r="CO10" s="142"/>
      <c r="CP10" s="142"/>
      <c r="CQ10" s="142"/>
      <c r="CR10" s="142"/>
      <c r="CS10" s="142"/>
      <c r="CT10" s="142"/>
      <c r="CU10" s="142"/>
      <c r="CV10" s="142"/>
      <c r="CW10" s="142"/>
      <c r="CX10" s="142"/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2"/>
      <c r="DL10" s="142"/>
      <c r="DM10" s="142"/>
      <c r="DN10" s="142"/>
      <c r="DO10" s="142"/>
      <c r="DP10" s="142"/>
      <c r="DQ10" s="142"/>
      <c r="DR10" s="142"/>
      <c r="DS10" s="142"/>
      <c r="DT10" s="142"/>
      <c r="DU10" s="142"/>
      <c r="DV10" s="142"/>
      <c r="DW10" s="142"/>
      <c r="DX10" s="142"/>
      <c r="DY10" s="142"/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142"/>
      <c r="ER10" s="142"/>
      <c r="ES10" s="142"/>
      <c r="ET10" s="142"/>
      <c r="EU10" s="142"/>
      <c r="EV10" s="142"/>
      <c r="EW10" s="142"/>
    </row>
    <row r="11" spans="1:153" s="143" customFormat="1" ht="27" customHeight="1">
      <c r="A11" s="3180" t="s">
        <v>2047</v>
      </c>
      <c r="B11" s="3108">
        <f>세입예산총괄표3!B12</f>
        <v>61258000</v>
      </c>
      <c r="C11" s="3096">
        <f t="shared" si="0"/>
        <v>7.0315905033467721E-3</v>
      </c>
      <c r="D11" s="3108">
        <v>324988000</v>
      </c>
      <c r="E11" s="3091">
        <f t="shared" si="1"/>
        <v>3.1791878958663061E-2</v>
      </c>
      <c r="F11" s="3107">
        <f>+B11-D11</f>
        <v>-263730000</v>
      </c>
      <c r="G11" s="3098">
        <f t="shared" si="3"/>
        <v>-0.81150688640811353</v>
      </c>
      <c r="H11" s="3181" t="s">
        <v>578</v>
      </c>
      <c r="I11" s="3182">
        <f>세출예산총괄표4!B12</f>
        <v>21248000</v>
      </c>
      <c r="J11" s="3183">
        <f t="shared" ref="J11:J45" si="5">I11/$I$6</f>
        <v>2.4389832350894939E-3</v>
      </c>
      <c r="K11" s="3182">
        <v>191160000</v>
      </c>
      <c r="L11" s="3183">
        <f t="shared" ref="L11:L20" si="6">K11/$K$6</f>
        <v>1.8700184200140413E-2</v>
      </c>
      <c r="M11" s="3184">
        <f t="shared" ref="M11:M20" si="7">I11-K11</f>
        <v>-169912000</v>
      </c>
      <c r="N11" s="3185">
        <f t="shared" ref="N11:N20" si="8">M11/K11</f>
        <v>-0.88884703912952501</v>
      </c>
      <c r="O11" s="144"/>
      <c r="P11" s="82" t="s">
        <v>2106</v>
      </c>
      <c r="Q11" s="166">
        <f>SUMIFS($B$9:$B$10000,$A$9:$A$10000,"고양시청소년진로센터")</f>
        <v>61498000</v>
      </c>
      <c r="R11" s="167">
        <f>SUMIF($A$9:$A$10000,"고양시청소년진로센터",$D$9:$D$10000)</f>
        <v>656844000</v>
      </c>
      <c r="S11" s="162">
        <f t="shared" si="4"/>
        <v>-595346000</v>
      </c>
      <c r="T11" s="170"/>
      <c r="U11" s="170" t="s">
        <v>2120</v>
      </c>
      <c r="V11" s="169">
        <f>SUMIFS($I$8:$I$136,$H$8:$H$136,"고양시청소년진로센터")</f>
        <v>61498000</v>
      </c>
      <c r="W11" s="169">
        <f>SUMIFS($K$8:$K$136,$H$8:$H$136,"고양시청소년진로센터")</f>
        <v>656844000</v>
      </c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</row>
    <row r="12" spans="1:153" s="143" customFormat="1" ht="27" customHeight="1">
      <c r="A12" s="3180" t="s">
        <v>2048</v>
      </c>
      <c r="B12" s="3108">
        <f>세입예산총괄표3!B13</f>
        <v>184082000</v>
      </c>
      <c r="C12" s="3096">
        <f t="shared" si="0"/>
        <v>2.1130125747446545E-2</v>
      </c>
      <c r="D12" s="3108">
        <v>331348000</v>
      </c>
      <c r="E12" s="3091">
        <f t="shared" si="1"/>
        <v>3.2414044546860463E-2</v>
      </c>
      <c r="F12" s="3107">
        <f t="shared" si="2"/>
        <v>-147266000</v>
      </c>
      <c r="G12" s="3098">
        <f t="shared" si="3"/>
        <v>-0.44444511510556878</v>
      </c>
      <c r="H12" s="3181" t="s">
        <v>580</v>
      </c>
      <c r="I12" s="3182">
        <f>세출예산총괄표4!B13</f>
        <v>37340000</v>
      </c>
      <c r="J12" s="3183">
        <f t="shared" si="5"/>
        <v>4.2861273530798993E-3</v>
      </c>
      <c r="K12" s="3182">
        <v>183764000</v>
      </c>
      <c r="L12" s="3183">
        <f t="shared" si="6"/>
        <v>1.797667215607137E-2</v>
      </c>
      <c r="M12" s="3184">
        <f t="shared" si="7"/>
        <v>-146424000</v>
      </c>
      <c r="N12" s="3185">
        <f t="shared" si="8"/>
        <v>-0.79680459720075747</v>
      </c>
      <c r="O12" s="144"/>
      <c r="P12" s="82" t="s">
        <v>2107</v>
      </c>
      <c r="Q12" s="166">
        <f>SUMIFS($B$9:$B$10000,$A$9:$A$10000,"성사청소년문화의집")</f>
        <v>215312000</v>
      </c>
      <c r="R12" s="167">
        <f>SUMIF($A$9:$A$10000,"성사청소년문화의집",$D$9:$D$10000)</f>
        <v>587720000</v>
      </c>
      <c r="S12" s="162">
        <f t="shared" si="4"/>
        <v>-372408000</v>
      </c>
      <c r="T12" s="170"/>
      <c r="U12" s="170" t="s">
        <v>2121</v>
      </c>
      <c r="V12" s="169">
        <f>SUMIFS($I$8:$I$136,$H$8:$H$136,"성사청소년문화의집")</f>
        <v>215312000</v>
      </c>
      <c r="W12" s="169">
        <f>SUMIFS($K$8:$K$136,$H$8:$H$136,"성사청소년문화의집")</f>
        <v>587720000</v>
      </c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142"/>
      <c r="DW12" s="142"/>
      <c r="DX12" s="142"/>
      <c r="DY12" s="142"/>
      <c r="DZ12" s="142"/>
      <c r="EA12" s="142"/>
      <c r="EB12" s="142"/>
      <c r="EC12" s="142"/>
      <c r="ED12" s="142"/>
      <c r="EE12" s="142"/>
      <c r="EF12" s="142"/>
      <c r="EG12" s="142"/>
      <c r="EH12" s="142"/>
      <c r="EI12" s="142"/>
      <c r="EJ12" s="142"/>
      <c r="EK12" s="142"/>
      <c r="EL12" s="142"/>
      <c r="EM12" s="142"/>
      <c r="EN12" s="142"/>
      <c r="EO12" s="142"/>
      <c r="EP12" s="142"/>
      <c r="EQ12" s="142"/>
      <c r="ER12" s="142"/>
      <c r="ES12" s="142"/>
      <c r="ET12" s="142"/>
      <c r="EU12" s="142"/>
      <c r="EV12" s="142"/>
      <c r="EW12" s="142"/>
    </row>
    <row r="13" spans="1:153" s="143" customFormat="1" ht="27" customHeight="1">
      <c r="A13" s="3180" t="s">
        <v>2049</v>
      </c>
      <c r="B13" s="3108">
        <f>세입예산총괄표3!B14</f>
        <v>86947000</v>
      </c>
      <c r="C13" s="3096">
        <f t="shared" si="0"/>
        <v>9.9803405186994643E-3</v>
      </c>
      <c r="D13" s="3108">
        <v>216088000</v>
      </c>
      <c r="E13" s="3091">
        <f t="shared" si="1"/>
        <v>2.1138760632452843E-2</v>
      </c>
      <c r="F13" s="3107">
        <f t="shared" si="2"/>
        <v>-129141000</v>
      </c>
      <c r="G13" s="3098">
        <f t="shared" si="3"/>
        <v>-0.59763152049165158</v>
      </c>
      <c r="H13" s="3181" t="s">
        <v>582</v>
      </c>
      <c r="I13" s="3182">
        <f>세출예산총괄표4!B14</f>
        <v>32717000</v>
      </c>
      <c r="J13" s="3183">
        <f t="shared" si="5"/>
        <v>3.7554694325312014E-3</v>
      </c>
      <c r="K13" s="3182">
        <v>144144000</v>
      </c>
      <c r="L13" s="3183">
        <f t="shared" si="6"/>
        <v>1.410085452681021E-2</v>
      </c>
      <c r="M13" s="3184">
        <f t="shared" si="7"/>
        <v>-111427000</v>
      </c>
      <c r="N13" s="3185">
        <f t="shared" si="8"/>
        <v>-0.77302558552558553</v>
      </c>
      <c r="O13" s="144"/>
      <c r="P13" s="82" t="s">
        <v>2108</v>
      </c>
      <c r="Q13" s="166">
        <f>SUMIFS($B$9:$B$10000,$A$9:$A$10000,"탄현청소년문화의집")</f>
        <v>214777000</v>
      </c>
      <c r="R13" s="167">
        <f>SUMIF($A$9:$A$10000,"탄현청소년문화의집",$D$9:$D$10000)</f>
        <v>358832000</v>
      </c>
      <c r="S13" s="162">
        <f t="shared" si="4"/>
        <v>-144055000</v>
      </c>
      <c r="T13" s="170"/>
      <c r="U13" s="170" t="s">
        <v>2108</v>
      </c>
      <c r="V13" s="169">
        <f>SUMIFS($I$8:$I$136,$H$8:$H$136,"탄현청소년문화의집")</f>
        <v>214777000</v>
      </c>
      <c r="W13" s="169">
        <f>SUMIFS($K$8:$K$136,$H$8:$H$136,"탄현청소년문화의집")</f>
        <v>358832000</v>
      </c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142"/>
      <c r="EA13" s="142"/>
      <c r="EB13" s="142"/>
      <c r="EC13" s="142"/>
      <c r="ED13" s="142"/>
      <c r="EE13" s="142"/>
      <c r="EF13" s="142"/>
      <c r="EG13" s="142"/>
      <c r="EH13" s="142"/>
      <c r="EI13" s="142"/>
      <c r="EJ13" s="142"/>
      <c r="EK13" s="142"/>
      <c r="EL13" s="142"/>
      <c r="EM13" s="142"/>
      <c r="EN13" s="142"/>
      <c r="EO13" s="142"/>
      <c r="EP13" s="142"/>
      <c r="EQ13" s="142"/>
      <c r="ER13" s="142"/>
      <c r="ES13" s="142"/>
      <c r="ET13" s="142"/>
      <c r="EU13" s="142"/>
      <c r="EV13" s="142"/>
      <c r="EW13" s="142"/>
    </row>
    <row r="14" spans="1:153" s="143" customFormat="1" ht="27" customHeight="1">
      <c r="A14" s="3180" t="s">
        <v>2050</v>
      </c>
      <c r="B14" s="3108">
        <f>세입예산총괄표3!B15</f>
        <v>16041000</v>
      </c>
      <c r="C14" s="3096">
        <f t="shared" si="0"/>
        <v>1.8412900072510624E-3</v>
      </c>
      <c r="D14" s="3108">
        <v>65189000</v>
      </c>
      <c r="E14" s="3096">
        <f t="shared" si="1"/>
        <v>6.377099454245346E-3</v>
      </c>
      <c r="F14" s="3107">
        <f t="shared" si="2"/>
        <v>-49148000</v>
      </c>
      <c r="G14" s="3098">
        <f t="shared" si="3"/>
        <v>-0.75393087790884961</v>
      </c>
      <c r="H14" s="3181" t="s">
        <v>584</v>
      </c>
      <c r="I14" s="3182">
        <f>세출예산총괄표4!B15</f>
        <v>0</v>
      </c>
      <c r="J14" s="3183">
        <f t="shared" si="5"/>
        <v>0</v>
      </c>
      <c r="K14" s="3182">
        <v>46863000</v>
      </c>
      <c r="L14" s="3183">
        <f t="shared" si="6"/>
        <v>4.5843624825862113E-3</v>
      </c>
      <c r="M14" s="3184">
        <f t="shared" si="7"/>
        <v>-46863000</v>
      </c>
      <c r="N14" s="3185">
        <f t="shared" si="8"/>
        <v>-1</v>
      </c>
      <c r="O14" s="144"/>
      <c r="P14" s="82" t="s">
        <v>2109</v>
      </c>
      <c r="Q14" s="166">
        <f>SUMIFS($B$9:$B$10000,$A$9:$A$10000,"주교동청소년카페")</f>
        <v>16051000</v>
      </c>
      <c r="R14" s="167">
        <f>SUMIF($A$9:$A$10000,"주교동청소년카페",$D$9:$D$10000)</f>
        <v>106242000</v>
      </c>
      <c r="S14" s="162">
        <f t="shared" si="4"/>
        <v>-90191000</v>
      </c>
      <c r="T14" s="170"/>
      <c r="U14" s="170" t="s">
        <v>2109</v>
      </c>
      <c r="V14" s="169">
        <f>SUMIFS($I$8:$I$136,$H$8:$H$136,"주교동청소년카페")</f>
        <v>16051000</v>
      </c>
      <c r="W14" s="169">
        <f>SUMIFS($K$8:$K$136,$H$8:$H$136,"주교동청소년카페")</f>
        <v>106242000</v>
      </c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142"/>
      <c r="BF14" s="142"/>
      <c r="BG14" s="142"/>
      <c r="BH14" s="142"/>
      <c r="BI14" s="142"/>
      <c r="BJ14" s="142"/>
      <c r="BK14" s="142"/>
      <c r="BL14" s="142"/>
      <c r="BM14" s="142"/>
      <c r="BN14" s="142"/>
      <c r="BO14" s="142"/>
      <c r="BP14" s="142"/>
      <c r="BQ14" s="142"/>
      <c r="BR14" s="142"/>
      <c r="BS14" s="142"/>
      <c r="BT14" s="142"/>
      <c r="BU14" s="142"/>
      <c r="BV14" s="142"/>
      <c r="BW14" s="142"/>
      <c r="BX14" s="142"/>
      <c r="BY14" s="142"/>
      <c r="BZ14" s="142"/>
      <c r="CA14" s="142"/>
      <c r="CB14" s="142"/>
      <c r="CC14" s="142"/>
      <c r="CD14" s="142"/>
      <c r="CE14" s="142"/>
      <c r="CF14" s="142"/>
      <c r="CG14" s="142"/>
      <c r="CH14" s="142"/>
      <c r="CI14" s="142"/>
      <c r="CJ14" s="142"/>
      <c r="CK14" s="142"/>
      <c r="CL14" s="142"/>
      <c r="CM14" s="142"/>
      <c r="CN14" s="142"/>
      <c r="CO14" s="142"/>
      <c r="CP14" s="142"/>
      <c r="CQ14" s="142"/>
      <c r="CR14" s="142"/>
      <c r="CS14" s="142"/>
      <c r="CT14" s="142"/>
      <c r="CU14" s="142"/>
      <c r="CV14" s="142"/>
      <c r="CW14" s="142"/>
      <c r="CX14" s="142"/>
      <c r="CY14" s="142"/>
      <c r="CZ14" s="142"/>
      <c r="DA14" s="142"/>
      <c r="DB14" s="142"/>
      <c r="DC14" s="142"/>
      <c r="DD14" s="142"/>
      <c r="DE14" s="142"/>
      <c r="DF14" s="142"/>
      <c r="DG14" s="142"/>
      <c r="DH14" s="142"/>
      <c r="DI14" s="142"/>
      <c r="DJ14" s="142"/>
      <c r="DK14" s="142"/>
      <c r="DL14" s="142"/>
      <c r="DM14" s="142"/>
      <c r="DN14" s="142"/>
      <c r="DO14" s="142"/>
      <c r="DP14" s="142"/>
      <c r="DQ14" s="142"/>
      <c r="DR14" s="142"/>
      <c r="DS14" s="142"/>
      <c r="DT14" s="142"/>
      <c r="DU14" s="142"/>
      <c r="DV14" s="142"/>
      <c r="DW14" s="142"/>
      <c r="DX14" s="142"/>
      <c r="DY14" s="142"/>
      <c r="DZ14" s="142"/>
      <c r="EA14" s="142"/>
      <c r="EB14" s="142"/>
      <c r="EC14" s="142"/>
      <c r="ED14" s="142"/>
      <c r="EE14" s="142"/>
      <c r="EF14" s="142"/>
      <c r="EG14" s="142"/>
      <c r="EH14" s="142"/>
      <c r="EI14" s="142"/>
      <c r="EJ14" s="142"/>
      <c r="EK14" s="142"/>
      <c r="EL14" s="142"/>
      <c r="EM14" s="142"/>
      <c r="EN14" s="142"/>
      <c r="EO14" s="142"/>
      <c r="EP14" s="142"/>
      <c r="EQ14" s="142"/>
      <c r="ER14" s="142"/>
      <c r="ES14" s="142"/>
      <c r="ET14" s="142"/>
      <c r="EU14" s="142"/>
      <c r="EV14" s="142"/>
      <c r="EW14" s="142"/>
    </row>
    <row r="15" spans="1:153" s="143" customFormat="1" ht="27" customHeight="1">
      <c r="A15" s="3180" t="s">
        <v>583</v>
      </c>
      <c r="B15" s="3108">
        <f>세입예산총괄표3!B16</f>
        <v>423402000</v>
      </c>
      <c r="C15" s="3096">
        <f>+B15/$B$6</f>
        <v>4.8600827358027197E-2</v>
      </c>
      <c r="D15" s="3108">
        <v>1200000000</v>
      </c>
      <c r="E15" s="3091">
        <f t="shared" si="1"/>
        <v>0.1173897336221512</v>
      </c>
      <c r="F15" s="3107">
        <f t="shared" si="2"/>
        <v>-776598000</v>
      </c>
      <c r="G15" s="3098">
        <f t="shared" si="3"/>
        <v>-0.64716499999999999</v>
      </c>
      <c r="H15" s="3181" t="s">
        <v>583</v>
      </c>
      <c r="I15" s="3182">
        <f>세출예산총괄표4!B16</f>
        <v>130434000</v>
      </c>
      <c r="J15" s="3183">
        <f t="shared" si="5"/>
        <v>1.4972060395597847E-2</v>
      </c>
      <c r="K15" s="3182">
        <v>500000000</v>
      </c>
      <c r="L15" s="3183">
        <f t="shared" si="6"/>
        <v>4.8912388052260967E-2</v>
      </c>
      <c r="M15" s="3184">
        <f t="shared" si="7"/>
        <v>-369566000</v>
      </c>
      <c r="N15" s="3185">
        <f t="shared" si="8"/>
        <v>-0.73913200000000001</v>
      </c>
      <c r="O15" s="144"/>
      <c r="P15" s="82" t="s">
        <v>2110</v>
      </c>
      <c r="Q15" s="166">
        <f>SUMIFS($B$9:$B$10000,$A$9:$A$10000,"일산서구청소년수련관")</f>
        <v>914627000</v>
      </c>
      <c r="R15" s="167">
        <f>SUMIF($A$9:$A$10000,"일산서구청소년수련관",$D$9:$D$10000)</f>
        <v>1345286000</v>
      </c>
      <c r="S15" s="162">
        <f t="shared" si="4"/>
        <v>-430659000</v>
      </c>
      <c r="T15" s="170"/>
      <c r="U15" s="170" t="s">
        <v>2122</v>
      </c>
      <c r="V15" s="169">
        <f>SUMIFS($I$8:$I$136,$H$8:$H$136,"일산서구청소년수련관")</f>
        <v>914627000</v>
      </c>
      <c r="W15" s="169">
        <f>SUMIFS($K$8:$K$136,$H$8:$H$136,"일산서구청소년수련관")</f>
        <v>1345286000</v>
      </c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  <c r="DY15" s="142"/>
      <c r="DZ15" s="142"/>
      <c r="EA15" s="142"/>
      <c r="EB15" s="142"/>
      <c r="EC15" s="142"/>
      <c r="ED15" s="142"/>
      <c r="EE15" s="142"/>
      <c r="EF15" s="142"/>
      <c r="EG15" s="142"/>
      <c r="EH15" s="142"/>
      <c r="EI15" s="142"/>
      <c r="EJ15" s="142"/>
      <c r="EK15" s="142"/>
      <c r="EL15" s="142"/>
      <c r="EM15" s="142"/>
      <c r="EN15" s="142"/>
      <c r="EO15" s="142"/>
      <c r="EP15" s="142"/>
      <c r="EQ15" s="142"/>
      <c r="ER15" s="142"/>
      <c r="ES15" s="142"/>
      <c r="ET15" s="142"/>
      <c r="EU15" s="142"/>
      <c r="EV15" s="142"/>
      <c r="EW15" s="142"/>
    </row>
    <row r="16" spans="1:153" s="143" customFormat="1" ht="27" customHeight="1">
      <c r="A16" s="3186" t="s">
        <v>2051</v>
      </c>
      <c r="B16" s="284">
        <f>SUM(B17:B21)</f>
        <v>1601301000</v>
      </c>
      <c r="C16" s="285">
        <f>+B16/$B$6</f>
        <v>0.18380771335335286</v>
      </c>
      <c r="D16" s="284">
        <f>SUM(D17:D21)</f>
        <v>1401151000</v>
      </c>
      <c r="E16" s="286">
        <f t="shared" si="1"/>
        <v>0.13706728554534231</v>
      </c>
      <c r="F16" s="287">
        <f>SUM(F17:F21)</f>
        <v>200150000</v>
      </c>
      <c r="G16" s="288">
        <f t="shared" si="3"/>
        <v>0.14284684520083846</v>
      </c>
      <c r="H16" s="3181" t="s">
        <v>585</v>
      </c>
      <c r="I16" s="3182">
        <f>세출예산총괄표4!B17</f>
        <v>612394000</v>
      </c>
      <c r="J16" s="3183">
        <f t="shared" si="5"/>
        <v>7.0294554747241889E-2</v>
      </c>
      <c r="K16" s="3182">
        <v>576692000</v>
      </c>
      <c r="L16" s="3183">
        <f t="shared" si="6"/>
        <v>5.6414765781268965E-2</v>
      </c>
      <c r="M16" s="3184">
        <f t="shared" si="7"/>
        <v>35702000</v>
      </c>
      <c r="N16" s="3185">
        <f t="shared" si="8"/>
        <v>6.1908262989602766E-2</v>
      </c>
      <c r="O16" s="144"/>
      <c r="P16" s="82" t="s">
        <v>2111</v>
      </c>
      <c r="Q16" s="166">
        <f>SUMIFS($B$9:$B$10000,$A$9:$A$10000,"토당청소년수련관")</f>
        <v>1749582000</v>
      </c>
      <c r="R16" s="167">
        <f>SUMIF($A$9:$A$10000,"토당청소년수련관",$D$9:$D$10000)</f>
        <v>1947236000</v>
      </c>
      <c r="S16" s="162">
        <f t="shared" si="4"/>
        <v>-197654000</v>
      </c>
      <c r="T16" s="170"/>
      <c r="U16" s="170" t="s">
        <v>2123</v>
      </c>
      <c r="V16" s="169">
        <f>SUMIFS($I$8:$I$136,$H$8:$H$136,"토당청소년수련관")</f>
        <v>1749582000</v>
      </c>
      <c r="W16" s="169">
        <f>SUMIFS($K$8:$K$136,$H$8:$H$136,"토당청소년수련관")</f>
        <v>1947236000</v>
      </c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2"/>
      <c r="AZ16" s="142"/>
      <c r="BA16" s="142"/>
      <c r="BB16" s="142"/>
      <c r="BC16" s="142"/>
      <c r="BD16" s="142"/>
      <c r="BE16" s="142"/>
      <c r="BF16" s="142"/>
      <c r="BG16" s="142"/>
      <c r="BH16" s="142"/>
      <c r="BI16" s="142"/>
      <c r="BJ16" s="142"/>
      <c r="BK16" s="142"/>
      <c r="BL16" s="142"/>
      <c r="BM16" s="142"/>
      <c r="BN16" s="142"/>
      <c r="BO16" s="142"/>
      <c r="BP16" s="142"/>
      <c r="BQ16" s="142"/>
      <c r="BR16" s="142"/>
      <c r="BS16" s="142"/>
      <c r="BT16" s="142"/>
      <c r="BU16" s="142"/>
      <c r="BV16" s="142"/>
      <c r="BW16" s="142"/>
      <c r="BX16" s="142"/>
      <c r="BY16" s="142"/>
      <c r="BZ16" s="142"/>
      <c r="CA16" s="142"/>
      <c r="CB16" s="142"/>
      <c r="CC16" s="142"/>
      <c r="CD16" s="142"/>
      <c r="CE16" s="142"/>
      <c r="CF16" s="142"/>
      <c r="CG16" s="142"/>
      <c r="CH16" s="142"/>
      <c r="CI16" s="142"/>
      <c r="CJ16" s="142"/>
      <c r="CK16" s="142"/>
      <c r="CL16" s="142"/>
      <c r="CM16" s="142"/>
      <c r="CN16" s="142"/>
      <c r="CO16" s="142"/>
      <c r="CP16" s="142"/>
      <c r="CQ16" s="142"/>
      <c r="CR16" s="142"/>
      <c r="CS16" s="142"/>
      <c r="CT16" s="142"/>
      <c r="CU16" s="142"/>
      <c r="CV16" s="142"/>
      <c r="CW16" s="142"/>
      <c r="CX16" s="142"/>
      <c r="CY16" s="142"/>
      <c r="CZ16" s="142"/>
      <c r="DA16" s="142"/>
      <c r="DB16" s="142"/>
      <c r="DC16" s="142"/>
      <c r="DD16" s="142"/>
      <c r="DE16" s="142"/>
      <c r="DF16" s="142"/>
      <c r="DG16" s="142"/>
      <c r="DH16" s="142"/>
      <c r="DI16" s="142"/>
      <c r="DJ16" s="142"/>
      <c r="DK16" s="142"/>
      <c r="DL16" s="142"/>
      <c r="DM16" s="142"/>
      <c r="DN16" s="142"/>
      <c r="DO16" s="142"/>
      <c r="DP16" s="142"/>
      <c r="DQ16" s="142"/>
      <c r="DR16" s="142"/>
      <c r="DS16" s="142"/>
      <c r="DT16" s="142"/>
      <c r="DU16" s="142"/>
      <c r="DV16" s="142"/>
      <c r="DW16" s="142"/>
      <c r="DX16" s="142"/>
      <c r="DY16" s="142"/>
      <c r="DZ16" s="142"/>
      <c r="EA16" s="142"/>
      <c r="EB16" s="142"/>
      <c r="EC16" s="142"/>
      <c r="ED16" s="142"/>
      <c r="EE16" s="142"/>
      <c r="EF16" s="142"/>
      <c r="EG16" s="142"/>
      <c r="EH16" s="142"/>
      <c r="EI16" s="142"/>
      <c r="EJ16" s="142"/>
      <c r="EK16" s="142"/>
      <c r="EL16" s="142"/>
      <c r="EM16" s="142"/>
      <c r="EN16" s="142"/>
      <c r="EO16" s="142"/>
      <c r="EP16" s="142"/>
      <c r="EQ16" s="142"/>
      <c r="ER16" s="142"/>
      <c r="ES16" s="142"/>
      <c r="ET16" s="142"/>
      <c r="EU16" s="142"/>
      <c r="EV16" s="142"/>
      <c r="EW16" s="142"/>
    </row>
    <row r="17" spans="1:153" s="143" customFormat="1" ht="27" customHeight="1">
      <c r="A17" s="3180" t="s">
        <v>2052</v>
      </c>
      <c r="B17" s="3109">
        <f>세입예산총괄표3!B18</f>
        <v>931104000</v>
      </c>
      <c r="C17" s="3096">
        <f t="shared" ref="C17:C21" si="9">+B17/$B$6</f>
        <v>0.10687815540873344</v>
      </c>
      <c r="D17" s="3109">
        <v>822500000</v>
      </c>
      <c r="E17" s="3096">
        <f t="shared" si="1"/>
        <v>8.0460879920182804E-2</v>
      </c>
      <c r="F17" s="3110">
        <f t="shared" ref="F17:F21" si="10">+B17-D17</f>
        <v>108604000</v>
      </c>
      <c r="G17" s="3098">
        <f t="shared" si="3"/>
        <v>0.13204133738601823</v>
      </c>
      <c r="H17" s="3181" t="s">
        <v>438</v>
      </c>
      <c r="I17" s="3182">
        <f>세출예산총괄표4!B18</f>
        <v>309399000</v>
      </c>
      <c r="J17" s="3183">
        <f t="shared" si="5"/>
        <v>3.5514823698863628E-2</v>
      </c>
      <c r="K17" s="3182">
        <v>224951000</v>
      </c>
      <c r="L17" s="3183">
        <f t="shared" si="6"/>
        <v>2.2005781209488314E-2</v>
      </c>
      <c r="M17" s="3184">
        <f t="shared" si="7"/>
        <v>84448000</v>
      </c>
      <c r="N17" s="3185">
        <f t="shared" si="8"/>
        <v>0.37540619957235133</v>
      </c>
      <c r="O17" s="144"/>
      <c r="P17" s="82" t="s">
        <v>2112</v>
      </c>
      <c r="Q17" s="166">
        <f>SUMIFS($B$9:$B$10000,$A$9:$A$10000,"고양시청소년상담복지센터")</f>
        <v>424075000</v>
      </c>
      <c r="R17" s="167">
        <f>SUMIF($A$9:$A$10000,"고양시청소년상담복지센터",$D$9:$D$10000)</f>
        <v>1115590000</v>
      </c>
      <c r="S17" s="162">
        <f t="shared" si="4"/>
        <v>-691515000</v>
      </c>
      <c r="T17" s="170"/>
      <c r="U17" s="170" t="s">
        <v>2118</v>
      </c>
      <c r="V17" s="169">
        <f>SUMIFS($I$8:$I$136,$H$8:$H$136,"고양시청소년상담복지센터")</f>
        <v>424075000</v>
      </c>
      <c r="W17" s="169">
        <f>SUMIFS($K$8:$K$136,$H$8:$H$136,"고양시청소년상담복지센터")</f>
        <v>1115590000</v>
      </c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142"/>
      <c r="AU17" s="142"/>
      <c r="AV17" s="142"/>
      <c r="AW17" s="142"/>
      <c r="AX17" s="142"/>
      <c r="AY17" s="142"/>
      <c r="AZ17" s="142"/>
      <c r="BA17" s="142"/>
      <c r="BB17" s="142"/>
      <c r="BC17" s="142"/>
      <c r="BD17" s="142"/>
      <c r="BE17" s="142"/>
      <c r="BF17" s="142"/>
      <c r="BG17" s="142"/>
      <c r="BH17" s="142"/>
      <c r="BI17" s="142"/>
      <c r="BJ17" s="142"/>
      <c r="BK17" s="142"/>
      <c r="BL17" s="142"/>
      <c r="BM17" s="142"/>
      <c r="BN17" s="142"/>
      <c r="BO17" s="142"/>
      <c r="BP17" s="142"/>
      <c r="BQ17" s="142"/>
      <c r="BR17" s="142"/>
      <c r="BS17" s="142"/>
      <c r="BT17" s="142"/>
      <c r="BU17" s="142"/>
      <c r="BV17" s="142"/>
      <c r="BW17" s="142"/>
      <c r="BX17" s="142"/>
      <c r="BY17" s="142"/>
      <c r="BZ17" s="142"/>
      <c r="CA17" s="142"/>
      <c r="CB17" s="142"/>
      <c r="CC17" s="142"/>
      <c r="CD17" s="142"/>
      <c r="CE17" s="142"/>
      <c r="CF17" s="142"/>
      <c r="CG17" s="142"/>
      <c r="CH17" s="142"/>
      <c r="CI17" s="142"/>
      <c r="CJ17" s="142"/>
      <c r="CK17" s="142"/>
      <c r="CL17" s="142"/>
      <c r="CM17" s="142"/>
      <c r="CN17" s="142"/>
      <c r="CO17" s="142"/>
      <c r="CP17" s="142"/>
      <c r="CQ17" s="142"/>
      <c r="CR17" s="142"/>
      <c r="CS17" s="142"/>
      <c r="CT17" s="142"/>
      <c r="CU17" s="142"/>
      <c r="CV17" s="142"/>
      <c r="CW17" s="142"/>
      <c r="CX17" s="142"/>
      <c r="CY17" s="142"/>
      <c r="CZ17" s="142"/>
      <c r="DA17" s="142"/>
      <c r="DB17" s="142"/>
      <c r="DC17" s="142"/>
      <c r="DD17" s="142"/>
      <c r="DE17" s="142"/>
      <c r="DF17" s="142"/>
      <c r="DG17" s="142"/>
      <c r="DH17" s="142"/>
      <c r="DI17" s="142"/>
      <c r="DJ17" s="142"/>
      <c r="DK17" s="142"/>
      <c r="DL17" s="142"/>
      <c r="DM17" s="142"/>
      <c r="DN17" s="142"/>
      <c r="DO17" s="142"/>
      <c r="DP17" s="142"/>
      <c r="DQ17" s="142"/>
      <c r="DR17" s="142"/>
      <c r="DS17" s="142"/>
      <c r="DT17" s="142"/>
      <c r="DU17" s="142"/>
      <c r="DV17" s="142"/>
      <c r="DW17" s="142"/>
      <c r="DX17" s="142"/>
      <c r="DY17" s="142"/>
      <c r="DZ17" s="142"/>
      <c r="EA17" s="142"/>
      <c r="EB17" s="142"/>
      <c r="EC17" s="142"/>
      <c r="ED17" s="142"/>
      <c r="EE17" s="142"/>
      <c r="EF17" s="142"/>
      <c r="EG17" s="142"/>
      <c r="EH17" s="142"/>
      <c r="EI17" s="142"/>
      <c r="EJ17" s="142"/>
      <c r="EK17" s="142"/>
      <c r="EL17" s="142"/>
      <c r="EM17" s="142"/>
      <c r="EN17" s="142"/>
      <c r="EO17" s="142"/>
      <c r="EP17" s="142"/>
      <c r="EQ17" s="142"/>
      <c r="ER17" s="142"/>
      <c r="ES17" s="142"/>
      <c r="ET17" s="142"/>
      <c r="EU17" s="142"/>
      <c r="EV17" s="142"/>
      <c r="EW17" s="142"/>
    </row>
    <row r="18" spans="1:153" s="143" customFormat="1" ht="27" customHeight="1">
      <c r="A18" s="3180" t="s">
        <v>438</v>
      </c>
      <c r="B18" s="3109">
        <f>세입예산총괄표3!B19</f>
        <v>375948000</v>
      </c>
      <c r="C18" s="3096">
        <f t="shared" si="9"/>
        <v>4.315374949479598E-2</v>
      </c>
      <c r="D18" s="3109">
        <v>323393000</v>
      </c>
      <c r="E18" s="3096">
        <f t="shared" si="1"/>
        <v>3.1635848437723622E-2</v>
      </c>
      <c r="F18" s="3110">
        <f t="shared" si="10"/>
        <v>52555000</v>
      </c>
      <c r="G18" s="3098">
        <f t="shared" si="3"/>
        <v>0.16251124792435209</v>
      </c>
      <c r="H18" s="3181" t="s">
        <v>587</v>
      </c>
      <c r="I18" s="3182">
        <f>세출예산총괄표4!B19</f>
        <v>62617000</v>
      </c>
      <c r="J18" s="3183">
        <f t="shared" si="5"/>
        <v>7.1875853365775053E-3</v>
      </c>
      <c r="K18" s="3182">
        <v>63200000</v>
      </c>
      <c r="L18" s="3183">
        <f t="shared" si="6"/>
        <v>6.1825258498057869E-3</v>
      </c>
      <c r="M18" s="3184">
        <f t="shared" si="7"/>
        <v>-583000</v>
      </c>
      <c r="N18" s="3185">
        <f t="shared" si="8"/>
        <v>-9.2246835443037974E-3</v>
      </c>
      <c r="O18" s="144"/>
      <c r="P18" s="82" t="s">
        <v>2113</v>
      </c>
      <c r="Q18" s="166">
        <f>SUMIFS($B$9:$B$10000,$A$9:$A$10000,"화정청소년카페")</f>
        <v>155824000</v>
      </c>
      <c r="R18" s="167">
        <f>SUMIF($A$9:$A$10000,"화정청소년카페",$D$9:$D$10000)</f>
        <v>153106000</v>
      </c>
      <c r="S18" s="162">
        <f t="shared" si="4"/>
        <v>2718000</v>
      </c>
      <c r="T18" s="170"/>
      <c r="U18" s="170" t="s">
        <v>2124</v>
      </c>
      <c r="V18" s="169">
        <f>SUMIFS($I$8:$I$136,$H$8:$H$136,"화정청소년카페")</f>
        <v>155824000</v>
      </c>
      <c r="W18" s="169">
        <f>SUMIFS($K$8:$K$136,$H$8:$H$136,"화정청소년카페")</f>
        <v>153106200</v>
      </c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2"/>
      <c r="BC18" s="142"/>
      <c r="BD18" s="142"/>
      <c r="BE18" s="142"/>
      <c r="BF18" s="142"/>
      <c r="BG18" s="142"/>
      <c r="BH18" s="142"/>
      <c r="BI18" s="142"/>
      <c r="BJ18" s="142"/>
      <c r="BK18" s="142"/>
      <c r="BL18" s="142"/>
      <c r="BM18" s="142"/>
      <c r="BN18" s="142"/>
      <c r="BO18" s="142"/>
      <c r="BP18" s="142"/>
      <c r="BQ18" s="142"/>
      <c r="BR18" s="142"/>
      <c r="BS18" s="142"/>
      <c r="BT18" s="142"/>
      <c r="BU18" s="142"/>
      <c r="BV18" s="142"/>
      <c r="BW18" s="142"/>
      <c r="BX18" s="142"/>
      <c r="BY18" s="142"/>
      <c r="BZ18" s="142"/>
      <c r="CA18" s="142"/>
      <c r="CB18" s="142"/>
      <c r="CC18" s="142"/>
      <c r="CD18" s="142"/>
      <c r="CE18" s="142"/>
      <c r="CF18" s="142"/>
      <c r="CG18" s="142"/>
      <c r="CH18" s="142"/>
      <c r="CI18" s="142"/>
      <c r="CJ18" s="142"/>
      <c r="CK18" s="142"/>
      <c r="CL18" s="142"/>
      <c r="CM18" s="142"/>
      <c r="CN18" s="142"/>
      <c r="CO18" s="142"/>
      <c r="CP18" s="142"/>
      <c r="CQ18" s="142"/>
      <c r="CR18" s="142"/>
      <c r="CS18" s="142"/>
      <c r="CT18" s="142"/>
      <c r="CU18" s="142"/>
      <c r="CV18" s="142"/>
      <c r="CW18" s="142"/>
      <c r="CX18" s="142"/>
      <c r="CY18" s="142"/>
      <c r="CZ18" s="142"/>
      <c r="DA18" s="142"/>
      <c r="DB18" s="142"/>
      <c r="DC18" s="142"/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/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142"/>
      <c r="DZ18" s="142"/>
      <c r="EA18" s="142"/>
      <c r="EB18" s="142"/>
      <c r="EC18" s="142"/>
      <c r="ED18" s="142"/>
      <c r="EE18" s="142"/>
      <c r="EF18" s="142"/>
      <c r="EG18" s="142"/>
      <c r="EH18" s="142"/>
      <c r="EI18" s="142"/>
      <c r="EJ18" s="142"/>
      <c r="EK18" s="142"/>
      <c r="EL18" s="142"/>
      <c r="EM18" s="142"/>
      <c r="EN18" s="142"/>
      <c r="EO18" s="142"/>
      <c r="EP18" s="142"/>
      <c r="EQ18" s="142"/>
      <c r="ER18" s="142"/>
      <c r="ES18" s="142"/>
      <c r="ET18" s="142"/>
      <c r="EU18" s="142"/>
      <c r="EV18" s="142"/>
      <c r="EW18" s="142"/>
    </row>
    <row r="19" spans="1:153" s="143" customFormat="1" ht="27" customHeight="1">
      <c r="A19" s="3180" t="s">
        <v>587</v>
      </c>
      <c r="B19" s="3109">
        <f>세입예산총괄표3!B20</f>
        <v>116324000</v>
      </c>
      <c r="C19" s="3096">
        <f t="shared" si="9"/>
        <v>1.335242309104623E-2</v>
      </c>
      <c r="D19" s="3109">
        <v>118473000</v>
      </c>
      <c r="E19" s="3096">
        <f t="shared" si="1"/>
        <v>1.1589594926180934E-2</v>
      </c>
      <c r="F19" s="3110">
        <f t="shared" si="10"/>
        <v>-2149000</v>
      </c>
      <c r="G19" s="3098">
        <f t="shared" si="3"/>
        <v>-1.8139154068859572E-2</v>
      </c>
      <c r="H19" s="3181" t="s">
        <v>499</v>
      </c>
      <c r="I19" s="3182">
        <f>세출예산총괄표4!B20</f>
        <v>57190000</v>
      </c>
      <c r="J19" s="3183">
        <f t="shared" si="5"/>
        <v>6.5646390820203382E-3</v>
      </c>
      <c r="K19" s="3182">
        <v>44880000</v>
      </c>
      <c r="L19" s="3183">
        <f t="shared" si="6"/>
        <v>4.3903759515709446E-3</v>
      </c>
      <c r="M19" s="3184">
        <f t="shared" si="7"/>
        <v>12310000</v>
      </c>
      <c r="N19" s="3185">
        <f t="shared" si="8"/>
        <v>0.27428698752228164</v>
      </c>
      <c r="O19" s="144"/>
      <c r="P19" s="82" t="s">
        <v>2114</v>
      </c>
      <c r="Q19" s="166">
        <f>SUMIFS($B$9:$B$10000,$A$9:$A$10000,"백마역청소년카페")</f>
        <v>101394000</v>
      </c>
      <c r="R19" s="167">
        <f>SUMIF($A$9:$A$10000,"백마역청소년카페",$D$9:$D$10000)</f>
        <v>89509000</v>
      </c>
      <c r="S19" s="162">
        <f t="shared" si="4"/>
        <v>11885000</v>
      </c>
      <c r="T19" s="170"/>
      <c r="U19" s="170" t="s">
        <v>2125</v>
      </c>
      <c r="V19" s="169">
        <f>SUMIFS($I$8:$I$136,$H$8:$H$136,"백마역청소년카페")</f>
        <v>101394000</v>
      </c>
      <c r="W19" s="169">
        <f>SUMIFS($K$8:$K$136,$H$8:$H$136,"백마역청소년카페")</f>
        <v>89509000</v>
      </c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142"/>
      <c r="ED19" s="142"/>
      <c r="EE19" s="142"/>
      <c r="EF19" s="142"/>
      <c r="EG19" s="142"/>
      <c r="EH19" s="142"/>
      <c r="EI19" s="142"/>
      <c r="EJ19" s="142"/>
      <c r="EK19" s="142"/>
      <c r="EL19" s="142"/>
      <c r="EM19" s="142"/>
      <c r="EN19" s="142"/>
      <c r="EO19" s="142"/>
      <c r="EP19" s="142"/>
      <c r="EQ19" s="142"/>
      <c r="ER19" s="142"/>
      <c r="ES19" s="142"/>
      <c r="ET19" s="142"/>
      <c r="EU19" s="142"/>
      <c r="EV19" s="142"/>
      <c r="EW19" s="142"/>
    </row>
    <row r="20" spans="1:153" s="143" customFormat="1" ht="27" customHeight="1">
      <c r="A20" s="3180" t="s">
        <v>499</v>
      </c>
      <c r="B20" s="3109">
        <f>세입예산총괄표3!B21</f>
        <v>89380000</v>
      </c>
      <c r="C20" s="3096">
        <f t="shared" si="9"/>
        <v>1.025961603691166E-2</v>
      </c>
      <c r="D20" s="3109">
        <v>69415000</v>
      </c>
      <c r="E20" s="3096">
        <f t="shared" si="1"/>
        <v>6.7905069661513551E-3</v>
      </c>
      <c r="F20" s="3110">
        <f t="shared" si="10"/>
        <v>19965000</v>
      </c>
      <c r="G20" s="3098">
        <f t="shared" si="3"/>
        <v>0.28761795001080459</v>
      </c>
      <c r="H20" s="3187" t="s">
        <v>531</v>
      </c>
      <c r="I20" s="3188">
        <f>세출예산총괄표4!B21</f>
        <v>46765000</v>
      </c>
      <c r="J20" s="3183">
        <f t="shared" si="5"/>
        <v>5.3679899750075383E-3</v>
      </c>
      <c r="K20" s="3188">
        <v>37200000</v>
      </c>
      <c r="L20" s="3189">
        <f t="shared" si="6"/>
        <v>3.639081671088216E-3</v>
      </c>
      <c r="M20" s="3190">
        <f t="shared" si="7"/>
        <v>9565000</v>
      </c>
      <c r="N20" s="3191">
        <f t="shared" si="8"/>
        <v>0.25712365591397851</v>
      </c>
      <c r="O20" s="144"/>
      <c r="P20" s="82" t="s">
        <v>2115</v>
      </c>
      <c r="Q20" s="166">
        <f>SUMIFS($B$9:$B$10000,$A$9:$A$10000,"능곡역청소년카페")</f>
        <v>91355000</v>
      </c>
      <c r="R20" s="167">
        <f>SUMIF($A$9:$A$10000,"능곡역청소년카페",$D$9:$D$10000)</f>
        <v>69780000</v>
      </c>
      <c r="S20" s="162">
        <f t="shared" si="4"/>
        <v>21575000</v>
      </c>
      <c r="T20" s="170"/>
      <c r="U20" s="170" t="s">
        <v>2126</v>
      </c>
      <c r="V20" s="169">
        <f>SUMIFS($I$8:$I$136,$H$8:$H$136,"능곡역청소년카페")</f>
        <v>91355000</v>
      </c>
      <c r="W20" s="169">
        <f>SUMIFS($K$8:$K$136,$H$8:$H$136,"능곡역청소년카페")</f>
        <v>69780000</v>
      </c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142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2"/>
      <c r="CA20" s="142"/>
      <c r="CB20" s="142"/>
      <c r="CC20" s="142"/>
      <c r="CD20" s="142"/>
      <c r="CE20" s="142"/>
      <c r="CF20" s="142"/>
      <c r="CG20" s="142"/>
      <c r="CH20" s="142"/>
      <c r="CI20" s="142"/>
      <c r="CJ20" s="142"/>
      <c r="CK20" s="142"/>
      <c r="CL20" s="142"/>
      <c r="CM20" s="142"/>
      <c r="CN20" s="142"/>
      <c r="CO20" s="142"/>
      <c r="CP20" s="142"/>
      <c r="CQ20" s="142"/>
      <c r="CR20" s="142"/>
      <c r="CS20" s="142"/>
      <c r="CT20" s="142"/>
      <c r="CU20" s="142"/>
      <c r="CV20" s="142"/>
      <c r="CW20" s="142"/>
      <c r="CX20" s="142"/>
      <c r="CY20" s="142"/>
      <c r="CZ20" s="142"/>
      <c r="DA20" s="142"/>
      <c r="DB20" s="142"/>
      <c r="DC20" s="142"/>
      <c r="DD20" s="142"/>
      <c r="DE20" s="142"/>
      <c r="DF20" s="142"/>
      <c r="DG20" s="142"/>
      <c r="DH20" s="142"/>
      <c r="DI20" s="142"/>
      <c r="DJ20" s="142"/>
      <c r="DK20" s="142"/>
      <c r="DL20" s="142"/>
      <c r="DM20" s="142"/>
      <c r="DN20" s="142"/>
      <c r="DO20" s="142"/>
      <c r="DP20" s="142"/>
      <c r="DQ20" s="142"/>
      <c r="DR20" s="142"/>
      <c r="DS20" s="142"/>
      <c r="DT20" s="142"/>
      <c r="DU20" s="142"/>
      <c r="DV20" s="142"/>
      <c r="DW20" s="142"/>
      <c r="DX20" s="142"/>
      <c r="DY20" s="142"/>
      <c r="DZ20" s="142"/>
      <c r="EA20" s="142"/>
      <c r="EB20" s="142"/>
      <c r="EC20" s="142"/>
      <c r="ED20" s="142"/>
      <c r="EE20" s="142"/>
      <c r="EF20" s="142"/>
      <c r="EG20" s="142"/>
      <c r="EH20" s="142"/>
      <c r="EI20" s="142"/>
      <c r="EJ20" s="142"/>
      <c r="EK20" s="142"/>
      <c r="EL20" s="142"/>
      <c r="EM20" s="142"/>
      <c r="EN20" s="142"/>
      <c r="EO20" s="142"/>
      <c r="EP20" s="142"/>
      <c r="EQ20" s="142"/>
      <c r="ER20" s="142"/>
      <c r="ES20" s="142"/>
      <c r="ET20" s="142"/>
      <c r="EU20" s="142"/>
      <c r="EV20" s="142"/>
      <c r="EW20" s="142"/>
    </row>
    <row r="21" spans="1:153" s="143" customFormat="1" ht="27" customHeight="1">
      <c r="A21" s="3180" t="s">
        <v>531</v>
      </c>
      <c r="B21" s="3109">
        <f>세입예산총괄표3!B22</f>
        <v>88545000</v>
      </c>
      <c r="C21" s="3096">
        <f t="shared" si="9"/>
        <v>1.0163769321865551E-2</v>
      </c>
      <c r="D21" s="3109">
        <v>67370000</v>
      </c>
      <c r="E21" s="3096">
        <f>+D21/$D$6</f>
        <v>6.5904552951036059E-3</v>
      </c>
      <c r="F21" s="3110">
        <f t="shared" si="10"/>
        <v>21175000</v>
      </c>
      <c r="G21" s="3098">
        <f t="shared" si="3"/>
        <v>0.31430903963188361</v>
      </c>
      <c r="H21" s="3192" t="s">
        <v>2075</v>
      </c>
      <c r="I21" s="370">
        <f>SUM(I22:I33)</f>
        <v>1436607000</v>
      </c>
      <c r="J21" s="367">
        <f>I21/$I$6</f>
        <v>0.16490306797873741</v>
      </c>
      <c r="K21" s="370">
        <f>SUM(K22:K33)</f>
        <v>1461948200</v>
      </c>
      <c r="L21" s="367">
        <f>K21/$K$6</f>
        <v>0.14301475534140887</v>
      </c>
      <c r="M21" s="371">
        <f>SUM(M22:M33)</f>
        <v>-25341200</v>
      </c>
      <c r="N21" s="372">
        <f>M21/K21</f>
        <v>-1.7333856288478621E-2</v>
      </c>
      <c r="O21" s="144"/>
      <c r="P21" s="82"/>
      <c r="Q21" s="85">
        <f>SUM(Q9:Q20)</f>
        <v>8711827000</v>
      </c>
      <c r="R21" s="85">
        <f>SUM(R9:R20)</f>
        <v>10222359000</v>
      </c>
      <c r="S21" s="85"/>
      <c r="T21" s="163"/>
      <c r="U21" s="163"/>
      <c r="V21" s="85">
        <f>SUM(V9:V20)</f>
        <v>8711827000</v>
      </c>
      <c r="W21" s="85">
        <f>SUM(W9:W20)</f>
        <v>10222359200</v>
      </c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142"/>
      <c r="DN21" s="142"/>
      <c r="DO21" s="142"/>
      <c r="DP21" s="142"/>
      <c r="DQ21" s="142"/>
      <c r="DR21" s="142"/>
      <c r="DS21" s="142"/>
      <c r="DT21" s="142"/>
      <c r="DU21" s="142"/>
      <c r="DV21" s="142"/>
      <c r="DW21" s="142"/>
      <c r="DX21" s="142"/>
      <c r="DY21" s="142"/>
      <c r="DZ21" s="142"/>
      <c r="EA21" s="142"/>
      <c r="EB21" s="142"/>
      <c r="EC21" s="142"/>
      <c r="ED21" s="142"/>
      <c r="EE21" s="142"/>
      <c r="EF21" s="142"/>
      <c r="EG21" s="142"/>
      <c r="EH21" s="142"/>
      <c r="EI21" s="142"/>
      <c r="EJ21" s="142"/>
      <c r="EK21" s="142"/>
      <c r="EL21" s="142"/>
      <c r="EM21" s="142"/>
      <c r="EN21" s="142"/>
      <c r="EO21" s="142"/>
      <c r="EP21" s="142"/>
      <c r="EQ21" s="142"/>
      <c r="ER21" s="142"/>
      <c r="ES21" s="142"/>
      <c r="ET21" s="142"/>
      <c r="EU21" s="142"/>
      <c r="EV21" s="142"/>
      <c r="EW21" s="142"/>
    </row>
    <row r="22" spans="1:153" s="143" customFormat="1" ht="27" customHeight="1">
      <c r="A22" s="3186" t="s">
        <v>2053</v>
      </c>
      <c r="B22" s="284">
        <f>SUM(B23:B29)</f>
        <v>0</v>
      </c>
      <c r="C22" s="285">
        <f>+B22/$B$6</f>
        <v>0</v>
      </c>
      <c r="D22" s="284">
        <f>SUM(D23:D29)</f>
        <v>1553941000</v>
      </c>
      <c r="E22" s="286">
        <f t="shared" ref="E22" si="11">+D22/$D$6</f>
        <v>0.15201393337878272</v>
      </c>
      <c r="F22" s="287">
        <f>SUM(F23:F29)</f>
        <v>-1553941000</v>
      </c>
      <c r="G22" s="288">
        <f>+F22/D22</f>
        <v>-1</v>
      </c>
      <c r="H22" s="3175" t="s">
        <v>574</v>
      </c>
      <c r="I22" s="3176">
        <f>세출예산총괄표4!B23</f>
        <v>396810000</v>
      </c>
      <c r="J22" s="3177">
        <f>I22/$I$6</f>
        <v>4.5548425146642604E-2</v>
      </c>
      <c r="K22" s="3176">
        <v>313140000</v>
      </c>
      <c r="L22" s="3177">
        <f>K22/$K$6</f>
        <v>3.0632850389370001E-2</v>
      </c>
      <c r="M22" s="3178">
        <f>I22-K22</f>
        <v>83670000</v>
      </c>
      <c r="N22" s="3179">
        <f>M22/K22</f>
        <v>0.26719678099252731</v>
      </c>
      <c r="O22" s="144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</row>
    <row r="23" spans="1:153" s="143" customFormat="1" ht="27" customHeight="1">
      <c r="A23" s="3174" t="s">
        <v>2054</v>
      </c>
      <c r="B23" s="3109">
        <v>0</v>
      </c>
      <c r="C23" s="3091">
        <f t="shared" ref="C23:C33" si="12">+B23/$B$6</f>
        <v>0</v>
      </c>
      <c r="D23" s="3106">
        <v>2800000</v>
      </c>
      <c r="E23" s="3091">
        <f>+D23/$D$6</f>
        <v>2.7390937845168614E-4</v>
      </c>
      <c r="F23" s="3107">
        <f>+B23-D23</f>
        <v>-2800000</v>
      </c>
      <c r="G23" s="3093">
        <f>+F23/D23</f>
        <v>-1</v>
      </c>
      <c r="H23" s="3181" t="s">
        <v>576</v>
      </c>
      <c r="I23" s="3182">
        <f>세출예산총괄표4!B24</f>
        <v>234884000</v>
      </c>
      <c r="J23" s="3183">
        <f t="shared" si="5"/>
        <v>2.6961508762742878E-2</v>
      </c>
      <c r="K23" s="3182">
        <v>274384000</v>
      </c>
      <c r="L23" s="3183">
        <f>K23/$K$6</f>
        <v>2.6841553366663148E-2</v>
      </c>
      <c r="M23" s="3184">
        <f>I23-K23</f>
        <v>-39500000</v>
      </c>
      <c r="N23" s="3185">
        <f>M23/K23</f>
        <v>-0.14395883141874161</v>
      </c>
      <c r="O23" s="144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  <c r="AT23" s="142"/>
      <c r="AU23" s="142"/>
      <c r="AV23" s="142"/>
      <c r="AW23" s="142"/>
      <c r="AX23" s="142"/>
      <c r="AY23" s="142"/>
      <c r="AZ23" s="142"/>
      <c r="BA23" s="142"/>
      <c r="BB23" s="142"/>
      <c r="BC23" s="142"/>
      <c r="BD23" s="142"/>
      <c r="BE23" s="142"/>
      <c r="BF23" s="142"/>
      <c r="BG23" s="142"/>
      <c r="BH23" s="142"/>
      <c r="BI23" s="142"/>
      <c r="BJ23" s="142"/>
      <c r="BK23" s="142"/>
      <c r="BL23" s="142"/>
      <c r="BM23" s="142"/>
      <c r="BN23" s="142"/>
      <c r="BO23" s="142"/>
      <c r="BP23" s="142"/>
      <c r="BQ23" s="142"/>
      <c r="BR23" s="142"/>
      <c r="BS23" s="142"/>
      <c r="BT23" s="142"/>
      <c r="BU23" s="142"/>
      <c r="BV23" s="142"/>
      <c r="BW23" s="142"/>
      <c r="BX23" s="142"/>
      <c r="BY23" s="142"/>
      <c r="BZ23" s="142"/>
      <c r="CA23" s="142"/>
      <c r="CB23" s="142"/>
      <c r="CC23" s="142"/>
      <c r="CD23" s="142"/>
      <c r="CE23" s="142"/>
      <c r="CF23" s="142"/>
      <c r="CG23" s="142"/>
      <c r="CH23" s="142"/>
      <c r="CI23" s="142"/>
      <c r="CJ23" s="142"/>
      <c r="CK23" s="142"/>
      <c r="CL23" s="142"/>
      <c r="CM23" s="142"/>
      <c r="CN23" s="142"/>
      <c r="CO23" s="142"/>
      <c r="CP23" s="142"/>
      <c r="CQ23" s="142"/>
      <c r="CR23" s="142"/>
      <c r="CS23" s="142"/>
      <c r="CT23" s="142"/>
      <c r="CU23" s="142"/>
      <c r="CV23" s="142"/>
      <c r="CW23" s="142"/>
      <c r="CX23" s="142"/>
      <c r="CY23" s="142"/>
      <c r="CZ23" s="142"/>
      <c r="DA23" s="142"/>
      <c r="DB23" s="142"/>
      <c r="DC23" s="142"/>
      <c r="DD23" s="142"/>
      <c r="DE23" s="142"/>
      <c r="DF23" s="142"/>
      <c r="DG23" s="142"/>
      <c r="DH23" s="142"/>
      <c r="DI23" s="142"/>
      <c r="DJ23" s="142"/>
      <c r="DK23" s="142"/>
      <c r="DL23" s="142"/>
      <c r="DM23" s="142"/>
      <c r="DN23" s="142"/>
      <c r="DO23" s="142"/>
      <c r="DP23" s="142"/>
      <c r="DQ23" s="142"/>
      <c r="DR23" s="142"/>
      <c r="DS23" s="142"/>
      <c r="DT23" s="142"/>
      <c r="DU23" s="142"/>
      <c r="DV23" s="142"/>
      <c r="DW23" s="142"/>
      <c r="DX23" s="142"/>
      <c r="DY23" s="142"/>
      <c r="DZ23" s="142"/>
      <c r="EA23" s="142"/>
      <c r="EB23" s="142"/>
      <c r="EC23" s="142"/>
      <c r="ED23" s="142"/>
      <c r="EE23" s="142"/>
      <c r="EF23" s="142"/>
      <c r="EG23" s="142"/>
      <c r="EH23" s="142"/>
      <c r="EI23" s="142"/>
      <c r="EJ23" s="142"/>
      <c r="EK23" s="142"/>
      <c r="EL23" s="142"/>
      <c r="EM23" s="142"/>
      <c r="EN23" s="142"/>
      <c r="EO23" s="142"/>
      <c r="EP23" s="142"/>
      <c r="EQ23" s="142"/>
      <c r="ER23" s="142"/>
      <c r="ES23" s="142"/>
      <c r="ET23" s="142"/>
      <c r="EU23" s="142"/>
      <c r="EV23" s="142"/>
      <c r="EW23" s="142"/>
    </row>
    <row r="24" spans="1:153" s="143" customFormat="1" ht="27" customHeight="1">
      <c r="A24" s="3180" t="s">
        <v>576</v>
      </c>
      <c r="B24" s="3109">
        <v>0</v>
      </c>
      <c r="C24" s="3096">
        <f t="shared" si="12"/>
        <v>0</v>
      </c>
      <c r="D24" s="3109">
        <v>29000000</v>
      </c>
      <c r="E24" s="3096">
        <f t="shared" ref="E24:E55" si="13">+D24/$D$6</f>
        <v>2.8369185625353207E-3</v>
      </c>
      <c r="F24" s="3110">
        <f>+B24-D24</f>
        <v>-29000000</v>
      </c>
      <c r="G24" s="3093">
        <f>+F24/D24</f>
        <v>-1</v>
      </c>
      <c r="H24" s="3181" t="s">
        <v>578</v>
      </c>
      <c r="I24" s="3182">
        <f>세출예산총괄표4!B25</f>
        <v>38310000</v>
      </c>
      <c r="J24" s="3183">
        <f t="shared" si="5"/>
        <v>4.3974702436125048E-3</v>
      </c>
      <c r="K24" s="3182">
        <v>51208000</v>
      </c>
      <c r="L24" s="3183">
        <f t="shared" ref="L24:L71" si="14">K24/$K$6</f>
        <v>5.0094111347603592E-3</v>
      </c>
      <c r="M24" s="3184">
        <f t="shared" ref="M24:M33" si="15">I24-K24</f>
        <v>-12898000</v>
      </c>
      <c r="N24" s="3185">
        <f t="shared" ref="N24:N33" si="16">M24/K24</f>
        <v>-0.2518747070770192</v>
      </c>
      <c r="O24" s="144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2"/>
      <c r="AW24" s="142"/>
      <c r="AX24" s="142"/>
      <c r="AY24" s="142"/>
      <c r="AZ24" s="142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2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2"/>
      <c r="CG24" s="142"/>
      <c r="CH24" s="142"/>
      <c r="CI24" s="142"/>
      <c r="CJ24" s="142"/>
      <c r="CK24" s="142"/>
      <c r="CL24" s="142"/>
      <c r="CM24" s="142"/>
      <c r="CN24" s="142"/>
      <c r="CO24" s="142"/>
      <c r="CP24" s="142"/>
      <c r="CQ24" s="142"/>
      <c r="CR24" s="142"/>
      <c r="CS24" s="142"/>
      <c r="CT24" s="142"/>
      <c r="CU24" s="142"/>
      <c r="CV24" s="142"/>
      <c r="CW24" s="142"/>
      <c r="CX24" s="142"/>
      <c r="CY24" s="142"/>
      <c r="CZ24" s="142"/>
      <c r="DA24" s="142"/>
      <c r="DB24" s="142"/>
      <c r="DC24" s="142"/>
      <c r="DD24" s="142"/>
      <c r="DE24" s="142"/>
      <c r="DF24" s="142"/>
      <c r="DG24" s="142"/>
      <c r="DH24" s="142"/>
      <c r="DI24" s="142"/>
      <c r="DJ24" s="142"/>
      <c r="DK24" s="142"/>
      <c r="DL24" s="142"/>
      <c r="DM24" s="142"/>
      <c r="DN24" s="142"/>
      <c r="DO24" s="142"/>
      <c r="DP24" s="142"/>
      <c r="DQ24" s="142"/>
      <c r="DR24" s="142"/>
      <c r="DS24" s="142"/>
      <c r="DT24" s="142"/>
      <c r="DU24" s="142"/>
      <c r="DV24" s="142"/>
      <c r="DW24" s="142"/>
      <c r="DX24" s="142"/>
      <c r="DY24" s="142"/>
      <c r="DZ24" s="142"/>
      <c r="EA24" s="142"/>
      <c r="EB24" s="142"/>
      <c r="EC24" s="142"/>
      <c r="ED24" s="142"/>
      <c r="EE24" s="142"/>
      <c r="EF24" s="142"/>
      <c r="EG24" s="142"/>
      <c r="EH24" s="142"/>
      <c r="EI24" s="142"/>
      <c r="EJ24" s="142"/>
      <c r="EK24" s="142"/>
      <c r="EL24" s="142"/>
      <c r="EM24" s="142"/>
      <c r="EN24" s="142"/>
      <c r="EO24" s="142"/>
      <c r="EP24" s="142"/>
      <c r="EQ24" s="142"/>
      <c r="ER24" s="142"/>
      <c r="ES24" s="142"/>
      <c r="ET24" s="142"/>
      <c r="EU24" s="142"/>
      <c r="EV24" s="142"/>
      <c r="EW24" s="142"/>
    </row>
    <row r="25" spans="1:153" s="143" customFormat="1" ht="27" customHeight="1">
      <c r="A25" s="3180" t="s">
        <v>2055</v>
      </c>
      <c r="B25" s="3109">
        <v>0</v>
      </c>
      <c r="C25" s="3096">
        <f t="shared" si="12"/>
        <v>0</v>
      </c>
      <c r="D25" s="3109">
        <v>286300000</v>
      </c>
      <c r="E25" s="3096">
        <f t="shared" si="13"/>
        <v>2.800723394668491E-2</v>
      </c>
      <c r="F25" s="3110">
        <f>+B25-D25</f>
        <v>-286300000</v>
      </c>
      <c r="G25" s="3093">
        <f t="shared" ref="G25:G29" si="17">+F25/D25</f>
        <v>-1</v>
      </c>
      <c r="H25" s="3181" t="s">
        <v>580</v>
      </c>
      <c r="I25" s="3182">
        <f>세출예산총괄표4!B26</f>
        <v>86150000</v>
      </c>
      <c r="J25" s="3183">
        <f t="shared" si="5"/>
        <v>9.8888556900865923E-3</v>
      </c>
      <c r="K25" s="3182">
        <v>88010000</v>
      </c>
      <c r="L25" s="3183">
        <f t="shared" si="14"/>
        <v>8.6095585449589753E-3</v>
      </c>
      <c r="M25" s="3184">
        <f t="shared" si="15"/>
        <v>-1860000</v>
      </c>
      <c r="N25" s="3185">
        <f t="shared" si="16"/>
        <v>-2.1133962049767072E-2</v>
      </c>
      <c r="O25" s="144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  <c r="BC25" s="142"/>
      <c r="BD25" s="142"/>
      <c r="BE25" s="142"/>
      <c r="BF25" s="142"/>
      <c r="BG25" s="142"/>
      <c r="BH25" s="142"/>
      <c r="BI25" s="142"/>
      <c r="BJ25" s="142"/>
      <c r="BK25" s="142"/>
      <c r="BL25" s="142"/>
      <c r="BM25" s="142"/>
      <c r="BN25" s="142"/>
      <c r="BO25" s="142"/>
      <c r="BP25" s="142"/>
      <c r="BQ25" s="142"/>
      <c r="BR25" s="142"/>
      <c r="BS25" s="142"/>
      <c r="BT25" s="142"/>
      <c r="BU25" s="142"/>
      <c r="BV25" s="142"/>
      <c r="BW25" s="142"/>
      <c r="BX25" s="142"/>
      <c r="BY25" s="142"/>
      <c r="BZ25" s="142"/>
      <c r="CA25" s="142"/>
      <c r="CB25" s="142"/>
      <c r="CC25" s="142"/>
      <c r="CD25" s="142"/>
      <c r="CE25" s="142"/>
      <c r="CF25" s="142"/>
      <c r="CG25" s="142"/>
      <c r="CH25" s="142"/>
      <c r="CI25" s="142"/>
      <c r="CJ25" s="142"/>
      <c r="CK25" s="142"/>
      <c r="CL25" s="142"/>
      <c r="CM25" s="142"/>
      <c r="CN25" s="142"/>
      <c r="CO25" s="142"/>
      <c r="CP25" s="142"/>
      <c r="CQ25" s="142"/>
      <c r="CR25" s="142"/>
      <c r="CS25" s="142"/>
      <c r="CT25" s="142"/>
      <c r="CU25" s="142"/>
      <c r="CV25" s="142"/>
      <c r="CW25" s="142"/>
      <c r="CX25" s="142"/>
      <c r="CY25" s="142"/>
      <c r="CZ25" s="142"/>
      <c r="DA25" s="142"/>
      <c r="DB25" s="142"/>
      <c r="DC25" s="142"/>
      <c r="DD25" s="142"/>
      <c r="DE25" s="142"/>
      <c r="DF25" s="142"/>
      <c r="DG25" s="142"/>
      <c r="DH25" s="142"/>
      <c r="DI25" s="142"/>
      <c r="DJ25" s="142"/>
      <c r="DK25" s="142"/>
      <c r="DL25" s="142"/>
      <c r="DM25" s="142"/>
      <c r="DN25" s="142"/>
      <c r="DO25" s="142"/>
      <c r="DP25" s="142"/>
      <c r="DQ25" s="142"/>
      <c r="DR25" s="142"/>
      <c r="DS25" s="142"/>
      <c r="DT25" s="142"/>
      <c r="DU25" s="142"/>
      <c r="DV25" s="142"/>
      <c r="DW25" s="142"/>
      <c r="DX25" s="142"/>
      <c r="DY25" s="142"/>
      <c r="DZ25" s="142"/>
      <c r="EA25" s="142"/>
      <c r="EB25" s="142"/>
      <c r="EC25" s="142"/>
      <c r="ED25" s="142"/>
      <c r="EE25" s="142"/>
      <c r="EF25" s="142"/>
      <c r="EG25" s="142"/>
      <c r="EH25" s="142"/>
      <c r="EI25" s="142"/>
      <c r="EJ25" s="142"/>
      <c r="EK25" s="142"/>
      <c r="EL25" s="142"/>
      <c r="EM25" s="142"/>
      <c r="EN25" s="142"/>
      <c r="EO25" s="142"/>
      <c r="EP25" s="142"/>
      <c r="EQ25" s="142"/>
      <c r="ER25" s="142"/>
      <c r="ES25" s="142"/>
      <c r="ET25" s="142"/>
      <c r="EU25" s="142"/>
      <c r="EV25" s="142"/>
      <c r="EW25" s="142"/>
    </row>
    <row r="26" spans="1:153" s="143" customFormat="1" ht="27" customHeight="1">
      <c r="A26" s="3180" t="s">
        <v>270</v>
      </c>
      <c r="B26" s="3109">
        <v>0</v>
      </c>
      <c r="C26" s="3096">
        <f t="shared" si="12"/>
        <v>0</v>
      </c>
      <c r="D26" s="3109">
        <v>229944000</v>
      </c>
      <c r="E26" s="3096">
        <f t="shared" si="13"/>
        <v>2.2494220756676616E-2</v>
      </c>
      <c r="F26" s="3110">
        <f t="shared" ref="F26:F29" si="18">+B26-D26</f>
        <v>-229944000</v>
      </c>
      <c r="G26" s="3098">
        <f t="shared" si="17"/>
        <v>-1</v>
      </c>
      <c r="H26" s="3181" t="s">
        <v>582</v>
      </c>
      <c r="I26" s="3182">
        <f>세출예산총괄표4!B27</f>
        <v>25630000</v>
      </c>
      <c r="J26" s="3183">
        <f t="shared" si="5"/>
        <v>2.9419776127326677E-3</v>
      </c>
      <c r="K26" s="3182">
        <v>42544000</v>
      </c>
      <c r="L26" s="3183">
        <f t="shared" si="14"/>
        <v>4.1618572745907812E-3</v>
      </c>
      <c r="M26" s="3184">
        <f t="shared" si="15"/>
        <v>-16914000</v>
      </c>
      <c r="N26" s="3185">
        <f t="shared" si="16"/>
        <v>-0.39756487401278678</v>
      </c>
      <c r="O26" s="144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  <c r="AT26" s="142"/>
      <c r="AU26" s="142"/>
      <c r="AV26" s="142"/>
      <c r="AW26" s="142"/>
      <c r="AX26" s="142"/>
      <c r="AY26" s="142"/>
      <c r="AZ26" s="142"/>
      <c r="BA26" s="142"/>
      <c r="BB26" s="142"/>
      <c r="BC26" s="142"/>
      <c r="BD26" s="142"/>
      <c r="BE26" s="142"/>
      <c r="BF26" s="142"/>
      <c r="BG26" s="142"/>
      <c r="BH26" s="142"/>
      <c r="BI26" s="142"/>
      <c r="BJ26" s="142"/>
      <c r="BK26" s="142"/>
      <c r="BL26" s="142"/>
      <c r="BM26" s="142"/>
      <c r="BN26" s="142"/>
      <c r="BO26" s="142"/>
      <c r="BP26" s="142"/>
      <c r="BQ26" s="142"/>
      <c r="BR26" s="142"/>
      <c r="BS26" s="142"/>
      <c r="BT26" s="142"/>
      <c r="BU26" s="142"/>
      <c r="BV26" s="142"/>
      <c r="BW26" s="142"/>
      <c r="BX26" s="142"/>
      <c r="BY26" s="142"/>
      <c r="BZ26" s="142"/>
      <c r="CA26" s="142"/>
      <c r="CB26" s="142"/>
      <c r="CC26" s="142"/>
      <c r="CD26" s="142"/>
      <c r="CE26" s="142"/>
      <c r="CF26" s="142"/>
      <c r="CG26" s="142"/>
      <c r="CH26" s="142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2"/>
      <c r="DO26" s="142"/>
      <c r="DP26" s="142"/>
      <c r="DQ26" s="142"/>
      <c r="DR26" s="142"/>
      <c r="DS26" s="142"/>
      <c r="DT26" s="142"/>
      <c r="DU26" s="142"/>
      <c r="DV26" s="142"/>
      <c r="DW26" s="142"/>
      <c r="DX26" s="142"/>
      <c r="DY26" s="142"/>
      <c r="DZ26" s="142"/>
      <c r="EA26" s="142"/>
      <c r="EB26" s="142"/>
      <c r="EC26" s="142"/>
      <c r="ED26" s="142"/>
      <c r="EE26" s="142"/>
      <c r="EF26" s="142"/>
      <c r="EG26" s="142"/>
      <c r="EH26" s="142"/>
      <c r="EI26" s="142"/>
      <c r="EJ26" s="142"/>
      <c r="EK26" s="142"/>
      <c r="EL26" s="142"/>
      <c r="EM26" s="142"/>
      <c r="EN26" s="142"/>
      <c r="EO26" s="142"/>
      <c r="EP26" s="142"/>
      <c r="EQ26" s="142"/>
      <c r="ER26" s="142"/>
      <c r="ES26" s="142"/>
      <c r="ET26" s="142"/>
      <c r="EU26" s="142"/>
      <c r="EV26" s="142"/>
      <c r="EW26" s="142"/>
    </row>
    <row r="27" spans="1:153" s="143" customFormat="1" ht="27" customHeight="1">
      <c r="A27" s="3180" t="s">
        <v>582</v>
      </c>
      <c r="B27" s="3109">
        <v>0</v>
      </c>
      <c r="C27" s="3096">
        <f t="shared" si="12"/>
        <v>0</v>
      </c>
      <c r="D27" s="3109">
        <v>2000000</v>
      </c>
      <c r="E27" s="3117">
        <f t="shared" si="13"/>
        <v>1.9564955603691868E-4</v>
      </c>
      <c r="F27" s="3110">
        <f t="shared" si="18"/>
        <v>-2000000</v>
      </c>
      <c r="G27" s="3098">
        <f t="shared" si="17"/>
        <v>-1</v>
      </c>
      <c r="H27" s="3181" t="s">
        <v>584</v>
      </c>
      <c r="I27" s="3182">
        <f>세출예산총괄표4!B28</f>
        <v>11334000</v>
      </c>
      <c r="J27" s="3183">
        <f t="shared" si="5"/>
        <v>1.300990021955211E-3</v>
      </c>
      <c r="K27" s="3182">
        <v>14296000</v>
      </c>
      <c r="L27" s="3183">
        <f t="shared" si="14"/>
        <v>1.3985029991902456E-3</v>
      </c>
      <c r="M27" s="3184">
        <f t="shared" si="15"/>
        <v>-2962000</v>
      </c>
      <c r="N27" s="3185">
        <f t="shared" si="16"/>
        <v>-0.20719082260772245</v>
      </c>
      <c r="O27" s="144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42"/>
      <c r="BP27" s="142"/>
      <c r="BQ27" s="142"/>
      <c r="BR27" s="142"/>
      <c r="BS27" s="142"/>
      <c r="BT27" s="142"/>
      <c r="BU27" s="142"/>
      <c r="BV27" s="142"/>
      <c r="BW27" s="142"/>
      <c r="BX27" s="142"/>
      <c r="BY27" s="142"/>
      <c r="BZ27" s="142"/>
      <c r="CA27" s="142"/>
      <c r="CB27" s="142"/>
      <c r="CC27" s="142"/>
      <c r="CD27" s="142"/>
      <c r="CE27" s="142"/>
      <c r="CF27" s="142"/>
      <c r="CG27" s="142"/>
      <c r="CH27" s="142"/>
      <c r="CI27" s="142"/>
      <c r="CJ27" s="142"/>
      <c r="CK27" s="142"/>
      <c r="CL27" s="142"/>
      <c r="CM27" s="142"/>
      <c r="CN27" s="142"/>
      <c r="CO27" s="142"/>
      <c r="CP27" s="142"/>
      <c r="CQ27" s="142"/>
      <c r="CR27" s="142"/>
      <c r="CS27" s="142"/>
      <c r="CT27" s="142"/>
      <c r="CU27" s="142"/>
      <c r="CV27" s="142"/>
      <c r="CW27" s="142"/>
      <c r="CX27" s="142"/>
      <c r="CY27" s="142"/>
      <c r="CZ27" s="142"/>
      <c r="DA27" s="142"/>
      <c r="DB27" s="142"/>
      <c r="DC27" s="142"/>
      <c r="DD27" s="142"/>
      <c r="DE27" s="142"/>
      <c r="DF27" s="142"/>
      <c r="DG27" s="142"/>
      <c r="DH27" s="142"/>
      <c r="DI27" s="142"/>
      <c r="DJ27" s="142"/>
      <c r="DK27" s="142"/>
      <c r="DL27" s="142"/>
      <c r="DM27" s="142"/>
      <c r="DN27" s="142"/>
      <c r="DO27" s="142"/>
      <c r="DP27" s="142"/>
      <c r="DQ27" s="142"/>
      <c r="DR27" s="142"/>
      <c r="DS27" s="142"/>
      <c r="DT27" s="142"/>
      <c r="DU27" s="142"/>
      <c r="DV27" s="142"/>
      <c r="DW27" s="142"/>
      <c r="DX27" s="142"/>
      <c r="DY27" s="142"/>
      <c r="DZ27" s="142"/>
      <c r="EA27" s="142"/>
      <c r="EB27" s="142"/>
      <c r="EC27" s="142"/>
      <c r="ED27" s="142"/>
      <c r="EE27" s="142"/>
      <c r="EF27" s="142"/>
      <c r="EG27" s="142"/>
      <c r="EH27" s="142"/>
      <c r="EI27" s="142"/>
      <c r="EJ27" s="142"/>
      <c r="EK27" s="142"/>
      <c r="EL27" s="142"/>
      <c r="EM27" s="142"/>
      <c r="EN27" s="142"/>
      <c r="EO27" s="142"/>
      <c r="EP27" s="142"/>
      <c r="EQ27" s="142"/>
      <c r="ER27" s="142"/>
      <c r="ES27" s="142"/>
      <c r="ET27" s="142"/>
      <c r="EU27" s="142"/>
      <c r="EV27" s="142"/>
      <c r="EW27" s="142"/>
    </row>
    <row r="28" spans="1:153" s="143" customFormat="1" ht="27" customHeight="1">
      <c r="A28" s="3180" t="s">
        <v>2056</v>
      </c>
      <c r="B28" s="3109">
        <v>0</v>
      </c>
      <c r="C28" s="3096">
        <f t="shared" si="12"/>
        <v>0</v>
      </c>
      <c r="D28" s="3109">
        <v>235394000</v>
      </c>
      <c r="E28" s="3096">
        <f t="shared" si="13"/>
        <v>2.3027365796877218E-2</v>
      </c>
      <c r="F28" s="3110">
        <f t="shared" si="18"/>
        <v>-235394000</v>
      </c>
      <c r="G28" s="3093">
        <f t="shared" si="17"/>
        <v>-1</v>
      </c>
      <c r="H28" s="3181" t="s">
        <v>583</v>
      </c>
      <c r="I28" s="3182">
        <f>세출예산총괄표4!B29</f>
        <v>209331000</v>
      </c>
      <c r="J28" s="3183">
        <f t="shared" si="5"/>
        <v>2.4028369709361768E-2</v>
      </c>
      <c r="K28" s="3182">
        <v>325265000</v>
      </c>
      <c r="L28" s="3183">
        <f t="shared" si="14"/>
        <v>3.1818975799637328E-2</v>
      </c>
      <c r="M28" s="3184">
        <f t="shared" si="15"/>
        <v>-115934000</v>
      </c>
      <c r="N28" s="3185">
        <f t="shared" si="16"/>
        <v>-0.3564293729728068</v>
      </c>
      <c r="O28" s="144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</row>
    <row r="29" spans="1:153" s="143" customFormat="1" ht="27" customHeight="1">
      <c r="A29" s="3193" t="s">
        <v>438</v>
      </c>
      <c r="B29" s="3111">
        <v>0</v>
      </c>
      <c r="C29" s="3112">
        <f t="shared" si="12"/>
        <v>0</v>
      </c>
      <c r="D29" s="3111">
        <v>768503000</v>
      </c>
      <c r="E29" s="3112">
        <f t="shared" si="13"/>
        <v>7.5178635381520059E-2</v>
      </c>
      <c r="F29" s="3113">
        <f t="shared" si="18"/>
        <v>-768503000</v>
      </c>
      <c r="G29" s="3119">
        <f t="shared" si="17"/>
        <v>-1</v>
      </c>
      <c r="H29" s="3187" t="s">
        <v>585</v>
      </c>
      <c r="I29" s="3188">
        <f>세출예산총괄표4!B30</f>
        <v>311110000</v>
      </c>
      <c r="J29" s="3189">
        <f t="shared" si="5"/>
        <v>3.5711223374844336E-2</v>
      </c>
      <c r="K29" s="3188">
        <v>240808000</v>
      </c>
      <c r="L29" s="3189">
        <f t="shared" si="14"/>
        <v>2.3556988684177719E-2</v>
      </c>
      <c r="M29" s="3190">
        <f t="shared" si="15"/>
        <v>70302000</v>
      </c>
      <c r="N29" s="3191">
        <f t="shared" si="16"/>
        <v>0.2919421281684994</v>
      </c>
      <c r="O29" s="144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  <c r="BM29" s="142"/>
      <c r="BN29" s="142"/>
      <c r="BO29" s="142"/>
      <c r="BP29" s="142"/>
      <c r="BQ29" s="142"/>
      <c r="BR29" s="142"/>
      <c r="BS29" s="142"/>
      <c r="BT29" s="142"/>
      <c r="BU29" s="142"/>
      <c r="BV29" s="142"/>
      <c r="BW29" s="142"/>
      <c r="BX29" s="142"/>
      <c r="BY29" s="142"/>
      <c r="BZ29" s="142"/>
      <c r="CA29" s="142"/>
      <c r="CB29" s="142"/>
      <c r="CC29" s="142"/>
      <c r="CD29" s="142"/>
      <c r="CE29" s="142"/>
      <c r="CF29" s="142"/>
      <c r="CG29" s="142"/>
      <c r="CH29" s="142"/>
      <c r="CI29" s="142"/>
      <c r="CJ29" s="142"/>
      <c r="CK29" s="142"/>
      <c r="CL29" s="142"/>
      <c r="CM29" s="142"/>
      <c r="CN29" s="142"/>
      <c r="CO29" s="142"/>
      <c r="CP29" s="142"/>
      <c r="CQ29" s="142"/>
      <c r="CR29" s="142"/>
      <c r="CS29" s="142"/>
      <c r="CT29" s="142"/>
      <c r="CU29" s="142"/>
      <c r="CV29" s="142"/>
      <c r="CW29" s="142"/>
      <c r="CX29" s="142"/>
      <c r="CY29" s="142"/>
      <c r="CZ29" s="142"/>
      <c r="DA29" s="142"/>
      <c r="DB29" s="142"/>
      <c r="DC29" s="142"/>
      <c r="DD29" s="142"/>
      <c r="DE29" s="142"/>
      <c r="DF29" s="142"/>
      <c r="DG29" s="142"/>
      <c r="DH29" s="142"/>
      <c r="DI29" s="142"/>
      <c r="DJ29" s="142"/>
      <c r="DK29" s="142"/>
      <c r="DL29" s="142"/>
      <c r="DM29" s="142"/>
      <c r="DN29" s="142"/>
      <c r="DO29" s="142"/>
      <c r="DP29" s="142"/>
      <c r="DQ29" s="142"/>
      <c r="DR29" s="142"/>
      <c r="DS29" s="142"/>
      <c r="DT29" s="142"/>
      <c r="DU29" s="142"/>
      <c r="DV29" s="142"/>
      <c r="DW29" s="142"/>
      <c r="DX29" s="142"/>
      <c r="DY29" s="142"/>
      <c r="DZ29" s="142"/>
      <c r="EA29" s="142"/>
      <c r="EB29" s="142"/>
      <c r="EC29" s="142"/>
      <c r="ED29" s="142"/>
      <c r="EE29" s="142"/>
      <c r="EF29" s="142"/>
      <c r="EG29" s="142"/>
      <c r="EH29" s="142"/>
      <c r="EI29" s="142"/>
      <c r="EJ29" s="142"/>
      <c r="EK29" s="142"/>
      <c r="EL29" s="142"/>
      <c r="EM29" s="142"/>
      <c r="EN29" s="142"/>
      <c r="EO29" s="142"/>
      <c r="EP29" s="142"/>
      <c r="EQ29" s="142"/>
      <c r="ER29" s="142"/>
      <c r="ES29" s="142"/>
      <c r="ET29" s="142"/>
      <c r="EU29" s="142"/>
      <c r="EV29" s="142"/>
      <c r="EW29" s="142"/>
    </row>
    <row r="30" spans="1:153" s="143" customFormat="1" ht="27" customHeight="1">
      <c r="A30" s="3194" t="s">
        <v>679</v>
      </c>
      <c r="B30" s="3195">
        <f>SUM(B31:B31)</f>
        <v>0</v>
      </c>
      <c r="C30" s="3196">
        <f t="shared" si="12"/>
        <v>0</v>
      </c>
      <c r="D30" s="3195">
        <f>SUM(D31:D31)</f>
        <v>44000000</v>
      </c>
      <c r="E30" s="3197">
        <f t="shared" si="13"/>
        <v>4.304290232812211E-3</v>
      </c>
      <c r="F30" s="3198">
        <f>SUM(F31:F31)</f>
        <v>-44000000</v>
      </c>
      <c r="G30" s="3199">
        <f>+F30/D30</f>
        <v>-1</v>
      </c>
      <c r="H30" s="3175" t="s">
        <v>438</v>
      </c>
      <c r="I30" s="3176">
        <f>세출예산총괄표4!B31</f>
        <v>53181000</v>
      </c>
      <c r="J30" s="3177">
        <f t="shared" si="5"/>
        <v>6.1044600633139295E-3</v>
      </c>
      <c r="K30" s="3176">
        <v>48841000</v>
      </c>
      <c r="L30" s="3177">
        <f t="shared" si="14"/>
        <v>4.7778598897209564E-3</v>
      </c>
      <c r="M30" s="3178">
        <f t="shared" si="15"/>
        <v>4340000</v>
      </c>
      <c r="N30" s="3179">
        <f t="shared" si="16"/>
        <v>8.8859769455989848E-2</v>
      </c>
      <c r="O30" s="144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  <c r="AT30" s="142"/>
      <c r="AU30" s="142"/>
      <c r="AV30" s="142"/>
      <c r="AW30" s="142"/>
      <c r="AX30" s="142"/>
      <c r="AY30" s="142"/>
      <c r="AZ30" s="142"/>
      <c r="BA30" s="142"/>
      <c r="BB30" s="142"/>
      <c r="BC30" s="142"/>
      <c r="BD30" s="142"/>
      <c r="BE30" s="142"/>
      <c r="BF30" s="142"/>
      <c r="BG30" s="142"/>
      <c r="BH30" s="142"/>
      <c r="BI30" s="142"/>
      <c r="BJ30" s="142"/>
      <c r="BK30" s="142"/>
      <c r="BL30" s="142"/>
      <c r="BM30" s="142"/>
      <c r="BN30" s="142"/>
      <c r="BO30" s="142"/>
      <c r="BP30" s="142"/>
      <c r="BQ30" s="142"/>
      <c r="BR30" s="142"/>
      <c r="BS30" s="142"/>
      <c r="BT30" s="142"/>
      <c r="BU30" s="142"/>
      <c r="BV30" s="142"/>
      <c r="BW30" s="142"/>
      <c r="BX30" s="142"/>
      <c r="BY30" s="142"/>
      <c r="BZ30" s="142"/>
      <c r="CA30" s="142"/>
      <c r="CB30" s="142"/>
      <c r="CC30" s="142"/>
      <c r="CD30" s="142"/>
      <c r="CE30" s="142"/>
      <c r="CF30" s="142"/>
      <c r="CG30" s="142"/>
      <c r="CH30" s="142"/>
      <c r="CI30" s="142"/>
      <c r="CJ30" s="142"/>
      <c r="CK30" s="142"/>
      <c r="CL30" s="142"/>
      <c r="CM30" s="142"/>
      <c r="CN30" s="142"/>
      <c r="CO30" s="142"/>
      <c r="CP30" s="142"/>
      <c r="CQ30" s="142"/>
      <c r="CR30" s="142"/>
      <c r="CS30" s="142"/>
      <c r="CT30" s="142"/>
      <c r="CU30" s="142"/>
      <c r="CV30" s="142"/>
      <c r="CW30" s="142"/>
      <c r="CX30" s="142"/>
      <c r="CY30" s="142"/>
      <c r="CZ30" s="142"/>
      <c r="DA30" s="142"/>
      <c r="DB30" s="142"/>
      <c r="DC30" s="142"/>
      <c r="DD30" s="142"/>
      <c r="DE30" s="142"/>
      <c r="DF30" s="142"/>
      <c r="DG30" s="142"/>
      <c r="DH30" s="142"/>
      <c r="DI30" s="142"/>
      <c r="DJ30" s="142"/>
      <c r="DK30" s="142"/>
      <c r="DL30" s="142"/>
      <c r="DM30" s="142"/>
      <c r="DN30" s="142"/>
      <c r="DO30" s="142"/>
      <c r="DP30" s="142"/>
      <c r="DQ30" s="142"/>
      <c r="DR30" s="142"/>
      <c r="DS30" s="142"/>
      <c r="DT30" s="142"/>
      <c r="DU30" s="142"/>
      <c r="DV30" s="142"/>
      <c r="DW30" s="142"/>
      <c r="DX30" s="142"/>
      <c r="DY30" s="142"/>
      <c r="DZ30" s="142"/>
      <c r="EA30" s="142"/>
      <c r="EB30" s="142"/>
      <c r="EC30" s="142"/>
      <c r="ED30" s="142"/>
      <c r="EE30" s="142"/>
      <c r="EF30" s="142"/>
      <c r="EG30" s="142"/>
      <c r="EH30" s="142"/>
      <c r="EI30" s="142"/>
      <c r="EJ30" s="142"/>
      <c r="EK30" s="142"/>
      <c r="EL30" s="142"/>
      <c r="EM30" s="142"/>
      <c r="EN30" s="142"/>
      <c r="EO30" s="142"/>
      <c r="EP30" s="142"/>
      <c r="EQ30" s="142"/>
      <c r="ER30" s="142"/>
      <c r="ES30" s="142"/>
      <c r="ET30" s="142"/>
      <c r="EU30" s="142"/>
      <c r="EV30" s="142"/>
      <c r="EW30" s="142"/>
    </row>
    <row r="31" spans="1:153" s="143" customFormat="1" ht="27" customHeight="1">
      <c r="A31" s="3174" t="s">
        <v>578</v>
      </c>
      <c r="B31" s="3106">
        <v>0</v>
      </c>
      <c r="C31" s="3091">
        <f t="shared" si="12"/>
        <v>0</v>
      </c>
      <c r="D31" s="3106">
        <v>44000000</v>
      </c>
      <c r="E31" s="3091">
        <f t="shared" si="13"/>
        <v>4.304290232812211E-3</v>
      </c>
      <c r="F31" s="3118">
        <f t="shared" ref="F31" si="19">+B31-D31</f>
        <v>-44000000</v>
      </c>
      <c r="G31" s="3093">
        <f>+F31/D31</f>
        <v>-1</v>
      </c>
      <c r="H31" s="3200" t="s">
        <v>587</v>
      </c>
      <c r="I31" s="3201">
        <f>세출예산총괄표4!B32</f>
        <v>22207000</v>
      </c>
      <c r="J31" s="3202">
        <f t="shared" si="5"/>
        <v>2.5490634742861631E-3</v>
      </c>
      <c r="K31" s="3201">
        <v>19247200</v>
      </c>
      <c r="L31" s="3202">
        <f t="shared" si="14"/>
        <v>1.8828530306389546E-3</v>
      </c>
      <c r="M31" s="3203">
        <f t="shared" si="15"/>
        <v>2959800</v>
      </c>
      <c r="N31" s="3204">
        <f t="shared" si="16"/>
        <v>0.15377821189575627</v>
      </c>
      <c r="O31" s="144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2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2"/>
      <c r="CG31" s="142"/>
      <c r="CH31" s="142"/>
      <c r="CI31" s="142"/>
      <c r="CJ31" s="142"/>
      <c r="CK31" s="142"/>
      <c r="CL31" s="142"/>
      <c r="CM31" s="142"/>
      <c r="CN31" s="142"/>
      <c r="CO31" s="142"/>
      <c r="CP31" s="142"/>
      <c r="CQ31" s="142"/>
      <c r="CR31" s="142"/>
      <c r="CS31" s="142"/>
      <c r="CT31" s="142"/>
      <c r="CU31" s="142"/>
      <c r="CV31" s="142"/>
      <c r="CW31" s="142"/>
      <c r="CX31" s="142"/>
      <c r="CY31" s="142"/>
      <c r="CZ31" s="142"/>
      <c r="DA31" s="142"/>
      <c r="DB31" s="142"/>
      <c r="DC31" s="142"/>
      <c r="DD31" s="142"/>
      <c r="DE31" s="142"/>
      <c r="DF31" s="142"/>
      <c r="DG31" s="142"/>
      <c r="DH31" s="142"/>
      <c r="DI31" s="142"/>
      <c r="DJ31" s="142"/>
      <c r="DK31" s="142"/>
      <c r="DL31" s="142"/>
      <c r="DM31" s="142"/>
      <c r="DN31" s="142"/>
      <c r="DO31" s="142"/>
      <c r="DP31" s="142"/>
      <c r="DQ31" s="142"/>
      <c r="DR31" s="142"/>
      <c r="DS31" s="142"/>
      <c r="DT31" s="142"/>
      <c r="DU31" s="142"/>
      <c r="DV31" s="142"/>
      <c r="DW31" s="142"/>
      <c r="DX31" s="142"/>
      <c r="DY31" s="142"/>
      <c r="DZ31" s="142"/>
      <c r="EA31" s="142"/>
      <c r="EB31" s="142"/>
      <c r="EC31" s="142"/>
      <c r="ED31" s="142"/>
      <c r="EE31" s="142"/>
      <c r="EF31" s="142"/>
      <c r="EG31" s="142"/>
      <c r="EH31" s="142"/>
      <c r="EI31" s="142"/>
      <c r="EJ31" s="142"/>
      <c r="EK31" s="142"/>
      <c r="EL31" s="142"/>
      <c r="EM31" s="142"/>
      <c r="EN31" s="142"/>
      <c r="EO31" s="142"/>
      <c r="EP31" s="142"/>
      <c r="EQ31" s="142"/>
      <c r="ER31" s="142"/>
      <c r="ES31" s="142"/>
      <c r="ET31" s="142"/>
      <c r="EU31" s="142"/>
      <c r="EV31" s="142"/>
      <c r="EW31" s="142"/>
    </row>
    <row r="32" spans="1:153" s="143" customFormat="1" ht="27" customHeight="1">
      <c r="A32" s="3186" t="s">
        <v>680</v>
      </c>
      <c r="B32" s="284">
        <f>SUM(B33:B33)</f>
        <v>0</v>
      </c>
      <c r="C32" s="285">
        <f t="shared" si="12"/>
        <v>0</v>
      </c>
      <c r="D32" s="284">
        <f>SUM(D33:D33)</f>
        <v>6000000</v>
      </c>
      <c r="E32" s="286">
        <f t="shared" si="13"/>
        <v>5.8694866811075607E-4</v>
      </c>
      <c r="F32" s="287">
        <f>SUM(F33:F33)</f>
        <v>-6000000</v>
      </c>
      <c r="G32" s="288">
        <f t="shared" ref="G32:G51" si="20">+F32/D32</f>
        <v>-1</v>
      </c>
      <c r="H32" s="3181" t="s">
        <v>499</v>
      </c>
      <c r="I32" s="3182">
        <f>세출예산총괄표4!B33</f>
        <v>25580000</v>
      </c>
      <c r="J32" s="3183">
        <f t="shared" si="5"/>
        <v>2.9362382884784099E-3</v>
      </c>
      <c r="K32" s="3182">
        <v>24535000</v>
      </c>
      <c r="L32" s="3183">
        <f t="shared" ref="L32" si="21">K32/$K$6</f>
        <v>2.4001308817244459E-3</v>
      </c>
      <c r="M32" s="3184">
        <f t="shared" ref="M32" si="22">I32-K32</f>
        <v>1045000</v>
      </c>
      <c r="N32" s="3185">
        <f t="shared" ref="N32" si="23">M32/K32</f>
        <v>4.2592215202771552E-2</v>
      </c>
      <c r="O32" s="144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  <c r="BN32" s="142"/>
      <c r="BO32" s="142"/>
      <c r="BP32" s="142"/>
      <c r="BQ32" s="142"/>
      <c r="BR32" s="142"/>
      <c r="BS32" s="142"/>
      <c r="BT32" s="142"/>
      <c r="BU32" s="142"/>
      <c r="BV32" s="142"/>
      <c r="BW32" s="142"/>
      <c r="BX32" s="142"/>
      <c r="BY32" s="142"/>
      <c r="BZ32" s="142"/>
      <c r="CA32" s="142"/>
      <c r="CB32" s="142"/>
      <c r="CC32" s="142"/>
      <c r="CD32" s="142"/>
      <c r="CE32" s="142"/>
      <c r="CF32" s="142"/>
      <c r="CG32" s="142"/>
      <c r="CH32" s="142"/>
      <c r="CI32" s="142"/>
      <c r="CJ32" s="142"/>
      <c r="CK32" s="142"/>
      <c r="CL32" s="142"/>
      <c r="CM32" s="142"/>
      <c r="CN32" s="142"/>
      <c r="CO32" s="142"/>
      <c r="CP32" s="142"/>
      <c r="CQ32" s="142"/>
      <c r="CR32" s="142"/>
      <c r="CS32" s="142"/>
      <c r="CT32" s="142"/>
      <c r="CU32" s="142"/>
      <c r="CV32" s="142"/>
      <c r="CW32" s="142"/>
      <c r="CX32" s="142"/>
      <c r="CY32" s="142"/>
      <c r="CZ32" s="142"/>
      <c r="DA32" s="142"/>
      <c r="DB32" s="142"/>
      <c r="DC32" s="142"/>
      <c r="DD32" s="142"/>
      <c r="DE32" s="142"/>
      <c r="DF32" s="142"/>
      <c r="DG32" s="142"/>
      <c r="DH32" s="142"/>
      <c r="DI32" s="142"/>
      <c r="DJ32" s="142"/>
      <c r="DK32" s="142"/>
      <c r="DL32" s="142"/>
      <c r="DM32" s="142"/>
      <c r="DN32" s="142"/>
      <c r="DO32" s="142"/>
      <c r="DP32" s="142"/>
      <c r="DQ32" s="142"/>
      <c r="DR32" s="142"/>
      <c r="DS32" s="142"/>
      <c r="DT32" s="142"/>
      <c r="DU32" s="142"/>
      <c r="DV32" s="142"/>
      <c r="DW32" s="142"/>
      <c r="DX32" s="142"/>
      <c r="DY32" s="142"/>
      <c r="DZ32" s="142"/>
      <c r="EA32" s="142"/>
      <c r="EB32" s="142"/>
      <c r="EC32" s="142"/>
      <c r="ED32" s="142"/>
      <c r="EE32" s="142"/>
      <c r="EF32" s="142"/>
      <c r="EG32" s="142"/>
      <c r="EH32" s="142"/>
      <c r="EI32" s="142"/>
      <c r="EJ32" s="142"/>
      <c r="EK32" s="142"/>
      <c r="EL32" s="142"/>
      <c r="EM32" s="142"/>
      <c r="EN32" s="142"/>
      <c r="EO32" s="142"/>
      <c r="EP32" s="142"/>
      <c r="EQ32" s="142"/>
      <c r="ER32" s="142"/>
      <c r="ES32" s="142"/>
      <c r="ET32" s="142"/>
      <c r="EU32" s="142"/>
      <c r="EV32" s="142"/>
      <c r="EW32" s="142"/>
    </row>
    <row r="33" spans="1:153" s="143" customFormat="1" ht="27" customHeight="1">
      <c r="A33" s="3174" t="s">
        <v>585</v>
      </c>
      <c r="B33" s="3106">
        <v>0</v>
      </c>
      <c r="C33" s="3091">
        <f t="shared" si="12"/>
        <v>0</v>
      </c>
      <c r="D33" s="3106">
        <v>6000000</v>
      </c>
      <c r="E33" s="3091">
        <f t="shared" si="13"/>
        <v>5.8694866811075607E-4</v>
      </c>
      <c r="F33" s="3118">
        <f t="shared" ref="F33" si="24">+B33-D33</f>
        <v>-6000000</v>
      </c>
      <c r="G33" s="3093">
        <f t="shared" si="20"/>
        <v>-1</v>
      </c>
      <c r="H33" s="3181" t="s">
        <v>531</v>
      </c>
      <c r="I33" s="3182">
        <f>세출예산총괄표4!B34</f>
        <v>22080000</v>
      </c>
      <c r="J33" s="3183">
        <f t="shared" si="5"/>
        <v>2.5344855906803475E-3</v>
      </c>
      <c r="K33" s="3182">
        <v>19670000</v>
      </c>
      <c r="L33" s="3183">
        <f t="shared" si="14"/>
        <v>1.9242133459759466E-3</v>
      </c>
      <c r="M33" s="3184">
        <f t="shared" si="15"/>
        <v>2410000</v>
      </c>
      <c r="N33" s="3185">
        <f t="shared" si="16"/>
        <v>0.12252160650737164</v>
      </c>
      <c r="O33" s="144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  <c r="AT33" s="142"/>
      <c r="AU33" s="142"/>
      <c r="AV33" s="142"/>
      <c r="AW33" s="142"/>
      <c r="AX33" s="142"/>
      <c r="AY33" s="142"/>
      <c r="AZ33" s="142"/>
      <c r="BA33" s="142"/>
      <c r="BB33" s="142"/>
      <c r="BC33" s="142"/>
      <c r="BD33" s="142"/>
      <c r="BE33" s="142"/>
      <c r="BF33" s="142"/>
      <c r="BG33" s="142"/>
      <c r="BH33" s="142"/>
      <c r="BI33" s="142"/>
      <c r="BJ33" s="142"/>
      <c r="BK33" s="142"/>
      <c r="BL33" s="142"/>
      <c r="BM33" s="142"/>
      <c r="BN33" s="142"/>
      <c r="BO33" s="142"/>
      <c r="BP33" s="142"/>
      <c r="BQ33" s="142"/>
      <c r="BR33" s="142"/>
      <c r="BS33" s="142"/>
      <c r="BT33" s="142"/>
      <c r="BU33" s="142"/>
      <c r="BV33" s="142"/>
      <c r="BW33" s="142"/>
      <c r="BX33" s="142"/>
      <c r="BY33" s="142"/>
      <c r="BZ33" s="142"/>
      <c r="CA33" s="142"/>
      <c r="CB33" s="142"/>
      <c r="CC33" s="142"/>
      <c r="CD33" s="142"/>
      <c r="CE33" s="142"/>
      <c r="CF33" s="142"/>
      <c r="CG33" s="142"/>
      <c r="CH33" s="142"/>
      <c r="CI33" s="142"/>
      <c r="CJ33" s="142"/>
      <c r="CK33" s="142"/>
      <c r="CL33" s="142"/>
      <c r="CM33" s="142"/>
      <c r="CN33" s="142"/>
      <c r="CO33" s="142"/>
      <c r="CP33" s="142"/>
      <c r="CQ33" s="142"/>
      <c r="CR33" s="142"/>
      <c r="CS33" s="142"/>
      <c r="CT33" s="142"/>
      <c r="CU33" s="142"/>
      <c r="CV33" s="142"/>
      <c r="CW33" s="142"/>
      <c r="CX33" s="142"/>
      <c r="CY33" s="142"/>
      <c r="CZ33" s="142"/>
      <c r="DA33" s="142"/>
      <c r="DB33" s="142"/>
      <c r="DC33" s="142"/>
      <c r="DD33" s="142"/>
      <c r="DE33" s="142"/>
      <c r="DF33" s="142"/>
      <c r="DG33" s="142"/>
      <c r="DH33" s="142"/>
      <c r="DI33" s="142"/>
      <c r="DJ33" s="142"/>
      <c r="DK33" s="142"/>
      <c r="DL33" s="142"/>
      <c r="DM33" s="142"/>
      <c r="DN33" s="142"/>
      <c r="DO33" s="142"/>
      <c r="DP33" s="142"/>
      <c r="DQ33" s="142"/>
      <c r="DR33" s="142"/>
      <c r="DS33" s="142"/>
      <c r="DT33" s="142"/>
      <c r="DU33" s="142"/>
      <c r="DV33" s="142"/>
      <c r="DW33" s="142"/>
      <c r="DX33" s="142"/>
      <c r="DY33" s="142"/>
      <c r="DZ33" s="142"/>
      <c r="EA33" s="142"/>
      <c r="EB33" s="142"/>
      <c r="EC33" s="142"/>
      <c r="ED33" s="142"/>
      <c r="EE33" s="142"/>
      <c r="EF33" s="142"/>
      <c r="EG33" s="142"/>
      <c r="EH33" s="142"/>
      <c r="EI33" s="142"/>
      <c r="EJ33" s="142"/>
      <c r="EK33" s="142"/>
      <c r="EL33" s="142"/>
      <c r="EM33" s="142"/>
      <c r="EN33" s="142"/>
      <c r="EO33" s="142"/>
      <c r="EP33" s="142"/>
      <c r="EQ33" s="142"/>
      <c r="ER33" s="142"/>
      <c r="ES33" s="142"/>
      <c r="ET33" s="142"/>
      <c r="EU33" s="142"/>
      <c r="EV33" s="142"/>
      <c r="EW33" s="142"/>
    </row>
    <row r="34" spans="1:153" s="143" customFormat="1" ht="27" customHeight="1">
      <c r="A34" s="3186" t="s">
        <v>2057</v>
      </c>
      <c r="B34" s="284">
        <f>SUM(B35:B38)</f>
        <v>0</v>
      </c>
      <c r="C34" s="285">
        <f>+B34/$B$6</f>
        <v>0</v>
      </c>
      <c r="D34" s="284">
        <f>SUM(D35:D38)</f>
        <v>65391000</v>
      </c>
      <c r="E34" s="286">
        <f t="shared" si="13"/>
        <v>6.3968600594050745E-3</v>
      </c>
      <c r="F34" s="287">
        <f>SUM(F35:F38)</f>
        <v>-65391000</v>
      </c>
      <c r="G34" s="288">
        <f t="shared" si="20"/>
        <v>-1</v>
      </c>
      <c r="H34" s="3192" t="s">
        <v>2074</v>
      </c>
      <c r="I34" s="370">
        <f>SUM(I35:I46)</f>
        <v>1246418000</v>
      </c>
      <c r="J34" s="367">
        <f>I34/$I$6</f>
        <v>0.1430719411668758</v>
      </c>
      <c r="K34" s="370">
        <f>SUM(K35:K46)</f>
        <v>1376686000</v>
      </c>
      <c r="L34" s="367">
        <f>K34/$K$6</f>
        <v>0.1346739997162299</v>
      </c>
      <c r="M34" s="371">
        <f>I34-K34</f>
        <v>-130268000</v>
      </c>
      <c r="N34" s="372">
        <f>M34/K34</f>
        <v>-9.462433699478312E-2</v>
      </c>
      <c r="O34" s="144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2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2"/>
      <c r="CG34" s="142"/>
      <c r="CH34" s="142"/>
      <c r="CI34" s="142"/>
      <c r="CJ34" s="142"/>
      <c r="CK34" s="142"/>
      <c r="CL34" s="142"/>
      <c r="CM34" s="142"/>
      <c r="CN34" s="142"/>
      <c r="CO34" s="142"/>
      <c r="CP34" s="142"/>
      <c r="CQ34" s="142"/>
      <c r="CR34" s="142"/>
      <c r="CS34" s="142"/>
      <c r="CT34" s="142"/>
      <c r="CU34" s="142"/>
      <c r="CV34" s="142"/>
      <c r="CW34" s="142"/>
      <c r="CX34" s="142"/>
      <c r="CY34" s="142"/>
      <c r="CZ34" s="142"/>
      <c r="DA34" s="142"/>
      <c r="DB34" s="142"/>
      <c r="DC34" s="142"/>
      <c r="DD34" s="142"/>
      <c r="DE34" s="142"/>
      <c r="DF34" s="142"/>
      <c r="DG34" s="142"/>
      <c r="DH34" s="142"/>
      <c r="DI34" s="142"/>
      <c r="DJ34" s="142"/>
      <c r="DK34" s="142"/>
      <c r="DL34" s="142"/>
      <c r="DM34" s="142"/>
      <c r="DN34" s="142"/>
      <c r="DO34" s="142"/>
      <c r="DP34" s="142"/>
      <c r="DQ34" s="142"/>
      <c r="DR34" s="142"/>
      <c r="DS34" s="142"/>
      <c r="DT34" s="142"/>
      <c r="DU34" s="142"/>
      <c r="DV34" s="142"/>
      <c r="DW34" s="142"/>
      <c r="DX34" s="142"/>
      <c r="DY34" s="142"/>
      <c r="DZ34" s="142"/>
      <c r="EA34" s="142"/>
      <c r="EB34" s="142"/>
      <c r="EC34" s="142"/>
      <c r="ED34" s="142"/>
      <c r="EE34" s="142"/>
      <c r="EF34" s="142"/>
      <c r="EG34" s="142"/>
      <c r="EH34" s="142"/>
      <c r="EI34" s="142"/>
      <c r="EJ34" s="142"/>
      <c r="EK34" s="142"/>
      <c r="EL34" s="142"/>
      <c r="EM34" s="142"/>
      <c r="EN34" s="142"/>
      <c r="EO34" s="142"/>
      <c r="EP34" s="142"/>
      <c r="EQ34" s="142"/>
      <c r="ER34" s="142"/>
      <c r="ES34" s="142"/>
      <c r="ET34" s="142"/>
      <c r="EU34" s="142"/>
      <c r="EV34" s="142"/>
      <c r="EW34" s="142"/>
    </row>
    <row r="35" spans="1:153" s="143" customFormat="1" ht="27" customHeight="1">
      <c r="A35" s="3180" t="s">
        <v>582</v>
      </c>
      <c r="B35" s="3109">
        <v>0</v>
      </c>
      <c r="C35" s="3096">
        <f t="shared" ref="C35:C55" si="25">+B35/$B$6</f>
        <v>0</v>
      </c>
      <c r="D35" s="3109">
        <v>20720000</v>
      </c>
      <c r="E35" s="3096">
        <f t="shared" si="13"/>
        <v>2.0269294005424775E-3</v>
      </c>
      <c r="F35" s="3110">
        <f>+B35-D35</f>
        <v>-20720000</v>
      </c>
      <c r="G35" s="3093">
        <f t="shared" si="20"/>
        <v>-1</v>
      </c>
      <c r="H35" s="3205" t="s">
        <v>2063</v>
      </c>
      <c r="I35" s="3149">
        <f>세출예산총괄표4!B36</f>
        <v>928000000</v>
      </c>
      <c r="J35" s="3177">
        <f t="shared" si="5"/>
        <v>0.10652185815902909</v>
      </c>
      <c r="K35" s="3149">
        <v>996980000</v>
      </c>
      <c r="L35" s="3177">
        <f t="shared" si="14"/>
        <v>9.7529345280686283E-2</v>
      </c>
      <c r="M35" s="3151">
        <f>+I35-K35</f>
        <v>-68980000</v>
      </c>
      <c r="N35" s="3152">
        <f t="shared" ref="N35:N44" si="26">+M35/K35</f>
        <v>-6.9188950630905341E-2</v>
      </c>
      <c r="O35" s="144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  <c r="BA35" s="142"/>
      <c r="BB35" s="142"/>
      <c r="BC35" s="142"/>
      <c r="BD35" s="142"/>
      <c r="BE35" s="142"/>
      <c r="BF35" s="142"/>
      <c r="BG35" s="142"/>
      <c r="BH35" s="142"/>
      <c r="BI35" s="142"/>
      <c r="BJ35" s="142"/>
      <c r="BK35" s="142"/>
      <c r="BL35" s="142"/>
      <c r="BM35" s="142"/>
      <c r="BN35" s="142"/>
      <c r="BO35" s="142"/>
      <c r="BP35" s="142"/>
      <c r="BQ35" s="142"/>
      <c r="BR35" s="142"/>
      <c r="BS35" s="142"/>
      <c r="BT35" s="142"/>
      <c r="BU35" s="142"/>
      <c r="BV35" s="142"/>
      <c r="BW35" s="142"/>
      <c r="BX35" s="142"/>
      <c r="BY35" s="142"/>
      <c r="BZ35" s="142"/>
      <c r="CA35" s="142"/>
      <c r="CB35" s="142"/>
      <c r="CC35" s="142"/>
      <c r="CD35" s="142"/>
      <c r="CE35" s="142"/>
      <c r="CF35" s="142"/>
      <c r="CG35" s="142"/>
      <c r="CH35" s="142"/>
      <c r="CI35" s="142"/>
      <c r="CJ35" s="142"/>
      <c r="CK35" s="142"/>
      <c r="CL35" s="142"/>
      <c r="CM35" s="142"/>
      <c r="CN35" s="142"/>
      <c r="CO35" s="142"/>
      <c r="CP35" s="142"/>
      <c r="CQ35" s="142"/>
      <c r="CR35" s="142"/>
      <c r="CS35" s="142"/>
      <c r="CT35" s="142"/>
      <c r="CU35" s="142"/>
      <c r="CV35" s="142"/>
      <c r="CW35" s="142"/>
      <c r="CX35" s="142"/>
      <c r="CY35" s="142"/>
      <c r="CZ35" s="142"/>
      <c r="DA35" s="142"/>
      <c r="DB35" s="142"/>
      <c r="DC35" s="142"/>
      <c r="DD35" s="142"/>
      <c r="DE35" s="142"/>
      <c r="DF35" s="142"/>
      <c r="DG35" s="142"/>
      <c r="DH35" s="142"/>
      <c r="DI35" s="142"/>
      <c r="DJ35" s="142"/>
      <c r="DK35" s="142"/>
      <c r="DL35" s="142"/>
      <c r="DM35" s="142"/>
      <c r="DN35" s="142"/>
      <c r="DO35" s="142"/>
      <c r="DP35" s="142"/>
      <c r="DQ35" s="142"/>
      <c r="DR35" s="142"/>
      <c r="DS35" s="142"/>
      <c r="DT35" s="142"/>
      <c r="DU35" s="142"/>
      <c r="DV35" s="142"/>
      <c r="DW35" s="142"/>
      <c r="DX35" s="142"/>
      <c r="DY35" s="142"/>
      <c r="DZ35" s="142"/>
      <c r="EA35" s="142"/>
      <c r="EB35" s="142"/>
      <c r="EC35" s="142"/>
      <c r="ED35" s="142"/>
      <c r="EE35" s="142"/>
      <c r="EF35" s="142"/>
      <c r="EG35" s="142"/>
      <c r="EH35" s="142"/>
      <c r="EI35" s="142"/>
      <c r="EJ35" s="142"/>
      <c r="EK35" s="142"/>
      <c r="EL35" s="142"/>
      <c r="EM35" s="142"/>
      <c r="EN35" s="142"/>
      <c r="EO35" s="142"/>
      <c r="EP35" s="142"/>
      <c r="EQ35" s="142"/>
      <c r="ER35" s="142"/>
      <c r="ES35" s="142"/>
      <c r="ET35" s="142"/>
      <c r="EU35" s="142"/>
      <c r="EV35" s="142"/>
      <c r="EW35" s="142"/>
    </row>
    <row r="36" spans="1:153" s="143" customFormat="1" ht="27" customHeight="1">
      <c r="A36" s="3180" t="s">
        <v>584</v>
      </c>
      <c r="B36" s="3109">
        <v>0</v>
      </c>
      <c r="C36" s="3096">
        <f t="shared" si="25"/>
        <v>0</v>
      </c>
      <c r="D36" s="3109">
        <v>37081000</v>
      </c>
      <c r="E36" s="3096">
        <f t="shared" si="13"/>
        <v>3.6274405937024908E-3</v>
      </c>
      <c r="F36" s="3110">
        <f>+B36-D36</f>
        <v>-37081000</v>
      </c>
      <c r="G36" s="3093">
        <f t="shared" si="20"/>
        <v>-1</v>
      </c>
      <c r="H36" s="3180" t="s">
        <v>2060</v>
      </c>
      <c r="I36" s="3108">
        <f>세출예산총괄표4!B37</f>
        <v>69004000</v>
      </c>
      <c r="J36" s="3183">
        <f t="shared" si="5"/>
        <v>7.9207266168164273E-3</v>
      </c>
      <c r="K36" s="3108">
        <v>65000000</v>
      </c>
      <c r="L36" s="3183">
        <f t="shared" si="14"/>
        <v>6.3586104467939263E-3</v>
      </c>
      <c r="M36" s="3107">
        <f t="shared" ref="M36:M44" si="27">+I36-K36</f>
        <v>4004000</v>
      </c>
      <c r="N36" s="3098">
        <f>+M36/K36</f>
        <v>6.1600000000000002E-2</v>
      </c>
      <c r="O36" s="144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  <c r="BA36" s="142"/>
      <c r="BB36" s="142"/>
      <c r="BC36" s="142"/>
      <c r="BD36" s="142"/>
      <c r="BE36" s="142"/>
      <c r="BF36" s="142"/>
      <c r="BG36" s="142"/>
      <c r="BH36" s="142"/>
      <c r="BI36" s="142"/>
      <c r="BJ36" s="142"/>
      <c r="BK36" s="142"/>
      <c r="BL36" s="142"/>
      <c r="BM36" s="142"/>
      <c r="BN36" s="142"/>
      <c r="BO36" s="142"/>
      <c r="BP36" s="142"/>
      <c r="BQ36" s="142"/>
      <c r="BR36" s="142"/>
      <c r="BS36" s="142"/>
      <c r="BT36" s="142"/>
      <c r="BU36" s="142"/>
      <c r="BV36" s="142"/>
      <c r="BW36" s="142"/>
      <c r="BX36" s="142"/>
      <c r="BY36" s="142"/>
      <c r="BZ36" s="142"/>
      <c r="CA36" s="142"/>
      <c r="CB36" s="142"/>
      <c r="CC36" s="142"/>
      <c r="CD36" s="142"/>
      <c r="CE36" s="142"/>
      <c r="CF36" s="142"/>
      <c r="CG36" s="142"/>
      <c r="CH36" s="142"/>
      <c r="CI36" s="142"/>
      <c r="CJ36" s="142"/>
      <c r="CK36" s="142"/>
      <c r="CL36" s="142"/>
      <c r="CM36" s="142"/>
      <c r="CN36" s="142"/>
      <c r="CO36" s="142"/>
      <c r="CP36" s="142"/>
      <c r="CQ36" s="142"/>
      <c r="CR36" s="142"/>
      <c r="CS36" s="142"/>
      <c r="CT36" s="142"/>
      <c r="CU36" s="142"/>
      <c r="CV36" s="142"/>
      <c r="CW36" s="142"/>
      <c r="CX36" s="142"/>
      <c r="CY36" s="142"/>
      <c r="CZ36" s="142"/>
      <c r="DA36" s="142"/>
      <c r="DB36" s="142"/>
      <c r="DC36" s="142"/>
      <c r="DD36" s="142"/>
      <c r="DE36" s="142"/>
      <c r="DF36" s="142"/>
      <c r="DG36" s="142"/>
      <c r="DH36" s="142"/>
      <c r="DI36" s="142"/>
      <c r="DJ36" s="142"/>
      <c r="DK36" s="142"/>
      <c r="DL36" s="142"/>
      <c r="DM36" s="142"/>
      <c r="DN36" s="142"/>
      <c r="DO36" s="142"/>
      <c r="DP36" s="142"/>
      <c r="DQ36" s="142"/>
      <c r="DR36" s="142"/>
      <c r="DS36" s="142"/>
      <c r="DT36" s="142"/>
      <c r="DU36" s="142"/>
      <c r="DV36" s="142"/>
      <c r="DW36" s="142"/>
      <c r="DX36" s="142"/>
      <c r="DY36" s="142"/>
      <c r="DZ36" s="142"/>
      <c r="EA36" s="142"/>
      <c r="EB36" s="142"/>
      <c r="EC36" s="142"/>
      <c r="ED36" s="142"/>
      <c r="EE36" s="142"/>
      <c r="EF36" s="142"/>
      <c r="EG36" s="142"/>
      <c r="EH36" s="142"/>
      <c r="EI36" s="142"/>
      <c r="EJ36" s="142"/>
      <c r="EK36" s="142"/>
      <c r="EL36" s="142"/>
      <c r="EM36" s="142"/>
      <c r="EN36" s="142"/>
      <c r="EO36" s="142"/>
      <c r="EP36" s="142"/>
      <c r="EQ36" s="142"/>
      <c r="ER36" s="142"/>
      <c r="ES36" s="142"/>
      <c r="ET36" s="142"/>
      <c r="EU36" s="142"/>
      <c r="EV36" s="142"/>
      <c r="EW36" s="142"/>
    </row>
    <row r="37" spans="1:153" s="143" customFormat="1" ht="27" customHeight="1">
      <c r="A37" s="3180" t="s">
        <v>438</v>
      </c>
      <c r="B37" s="3109">
        <v>0</v>
      </c>
      <c r="C37" s="3096">
        <f t="shared" si="25"/>
        <v>0</v>
      </c>
      <c r="D37" s="3109">
        <v>3510000</v>
      </c>
      <c r="E37" s="3096">
        <f t="shared" si="13"/>
        <v>3.4336497084479228E-4</v>
      </c>
      <c r="F37" s="3110">
        <f t="shared" ref="F37:F38" si="28">+B37-D37</f>
        <v>-3510000</v>
      </c>
      <c r="G37" s="3093">
        <f t="shared" si="20"/>
        <v>-1</v>
      </c>
      <c r="H37" s="3180" t="s">
        <v>2064</v>
      </c>
      <c r="I37" s="3108">
        <f>세출예산총괄표4!B38</f>
        <v>0</v>
      </c>
      <c r="J37" s="3183">
        <f t="shared" si="5"/>
        <v>0</v>
      </c>
      <c r="K37" s="3108">
        <v>77520000</v>
      </c>
      <c r="L37" s="3183">
        <f t="shared" si="14"/>
        <v>7.5833766436225409E-3</v>
      </c>
      <c r="M37" s="3107">
        <f t="shared" si="27"/>
        <v>-77520000</v>
      </c>
      <c r="N37" s="3098">
        <f t="shared" si="26"/>
        <v>-1</v>
      </c>
      <c r="O37" s="144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  <c r="AT37" s="142"/>
      <c r="AU37" s="142"/>
      <c r="AV37" s="142"/>
      <c r="AW37" s="142"/>
      <c r="AX37" s="142"/>
      <c r="AY37" s="142"/>
      <c r="AZ37" s="142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2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2"/>
      <c r="CG37" s="142"/>
      <c r="CH37" s="142"/>
      <c r="CI37" s="142"/>
      <c r="CJ37" s="142"/>
      <c r="CK37" s="142"/>
      <c r="CL37" s="142"/>
      <c r="CM37" s="142"/>
      <c r="CN37" s="142"/>
      <c r="CO37" s="142"/>
      <c r="CP37" s="142"/>
      <c r="CQ37" s="142"/>
      <c r="CR37" s="142"/>
      <c r="CS37" s="142"/>
      <c r="CT37" s="142"/>
      <c r="CU37" s="142"/>
      <c r="CV37" s="142"/>
      <c r="CW37" s="142"/>
      <c r="CX37" s="142"/>
      <c r="CY37" s="142"/>
      <c r="CZ37" s="142"/>
      <c r="DA37" s="142"/>
      <c r="DB37" s="142"/>
      <c r="DC37" s="142"/>
      <c r="DD37" s="142"/>
      <c r="DE37" s="142"/>
      <c r="DF37" s="142"/>
      <c r="DG37" s="142"/>
      <c r="DH37" s="142"/>
      <c r="DI37" s="142"/>
      <c r="DJ37" s="142"/>
      <c r="DK37" s="142"/>
      <c r="DL37" s="142"/>
      <c r="DM37" s="142"/>
      <c r="DN37" s="142"/>
      <c r="DO37" s="142"/>
      <c r="DP37" s="142"/>
      <c r="DQ37" s="142"/>
      <c r="DR37" s="142"/>
      <c r="DS37" s="142"/>
      <c r="DT37" s="142"/>
      <c r="DU37" s="142"/>
      <c r="DV37" s="142"/>
      <c r="DW37" s="142"/>
      <c r="DX37" s="142"/>
      <c r="DY37" s="142"/>
      <c r="DZ37" s="142"/>
      <c r="EA37" s="142"/>
      <c r="EB37" s="142"/>
      <c r="EC37" s="142"/>
      <c r="ED37" s="142"/>
      <c r="EE37" s="142"/>
      <c r="EF37" s="142"/>
      <c r="EG37" s="142"/>
      <c r="EH37" s="142"/>
      <c r="EI37" s="142"/>
      <c r="EJ37" s="142"/>
      <c r="EK37" s="142"/>
      <c r="EL37" s="142"/>
      <c r="EM37" s="142"/>
      <c r="EN37" s="142"/>
      <c r="EO37" s="142"/>
      <c r="EP37" s="142"/>
      <c r="EQ37" s="142"/>
      <c r="ER37" s="142"/>
      <c r="ES37" s="142"/>
      <c r="ET37" s="142"/>
      <c r="EU37" s="142"/>
      <c r="EV37" s="142"/>
      <c r="EW37" s="142"/>
    </row>
    <row r="38" spans="1:153" s="143" customFormat="1" ht="27" customHeight="1">
      <c r="A38" s="3180" t="s">
        <v>499</v>
      </c>
      <c r="B38" s="3109">
        <v>0</v>
      </c>
      <c r="C38" s="3096">
        <f t="shared" si="25"/>
        <v>0</v>
      </c>
      <c r="D38" s="3109">
        <v>4080000</v>
      </c>
      <c r="E38" s="3096">
        <f t="shared" si="13"/>
        <v>3.9912509431531409E-4</v>
      </c>
      <c r="F38" s="3110">
        <f t="shared" si="28"/>
        <v>-4080000</v>
      </c>
      <c r="G38" s="3093">
        <f t="shared" si="20"/>
        <v>-1</v>
      </c>
      <c r="H38" s="3180" t="s">
        <v>2061</v>
      </c>
      <c r="I38" s="3108">
        <f>'예산세출(성사)'!Q100</f>
        <v>60592000</v>
      </c>
      <c r="J38" s="3183">
        <f t="shared" si="5"/>
        <v>6.9551427042800554E-3</v>
      </c>
      <c r="K38" s="3108">
        <v>52574000</v>
      </c>
      <c r="L38" s="3183">
        <f t="shared" si="14"/>
        <v>5.1430397789191361E-3</v>
      </c>
      <c r="M38" s="3107">
        <f t="shared" si="27"/>
        <v>8018000</v>
      </c>
      <c r="N38" s="3098">
        <f t="shared" si="26"/>
        <v>0.15250884467607562</v>
      </c>
      <c r="O38" s="144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  <c r="AT38" s="142"/>
      <c r="AU38" s="142"/>
      <c r="AV38" s="142"/>
      <c r="AW38" s="142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  <c r="BO38" s="142"/>
      <c r="BP38" s="142"/>
      <c r="BQ38" s="142"/>
      <c r="BR38" s="142"/>
      <c r="BS38" s="142"/>
      <c r="BT38" s="142"/>
      <c r="BU38" s="142"/>
      <c r="BV38" s="142"/>
      <c r="BW38" s="142"/>
      <c r="BX38" s="142"/>
      <c r="BY38" s="142"/>
      <c r="BZ38" s="142"/>
      <c r="CA38" s="142"/>
      <c r="CB38" s="142"/>
      <c r="CC38" s="142"/>
      <c r="CD38" s="142"/>
      <c r="CE38" s="142"/>
      <c r="CF38" s="142"/>
      <c r="CG38" s="142"/>
      <c r="CH38" s="142"/>
      <c r="CI38" s="142"/>
      <c r="CJ38" s="142"/>
      <c r="CK38" s="142"/>
      <c r="CL38" s="142"/>
      <c r="CM38" s="142"/>
      <c r="CN38" s="142"/>
      <c r="CO38" s="142"/>
      <c r="CP38" s="142"/>
      <c r="CQ38" s="142"/>
      <c r="CR38" s="142"/>
      <c r="CS38" s="142"/>
      <c r="CT38" s="142"/>
      <c r="CU38" s="142"/>
      <c r="CV38" s="142"/>
      <c r="CW38" s="142"/>
      <c r="CX38" s="142"/>
      <c r="CY38" s="142"/>
      <c r="CZ38" s="142"/>
      <c r="DA38" s="142"/>
      <c r="DB38" s="142"/>
      <c r="DC38" s="142"/>
      <c r="DD38" s="142"/>
      <c r="DE38" s="142"/>
      <c r="DF38" s="142"/>
      <c r="DG38" s="142"/>
      <c r="DH38" s="142"/>
      <c r="DI38" s="142"/>
      <c r="DJ38" s="142"/>
      <c r="DK38" s="142"/>
      <c r="DL38" s="142"/>
      <c r="DM38" s="142"/>
      <c r="DN38" s="142"/>
      <c r="DO38" s="142"/>
      <c r="DP38" s="142"/>
      <c r="DQ38" s="142"/>
      <c r="DR38" s="142"/>
      <c r="DS38" s="142"/>
      <c r="DT38" s="142"/>
      <c r="DU38" s="142"/>
      <c r="DV38" s="142"/>
      <c r="DW38" s="142"/>
      <c r="DX38" s="142"/>
      <c r="DY38" s="142"/>
      <c r="DZ38" s="142"/>
      <c r="EA38" s="142"/>
      <c r="EB38" s="142"/>
      <c r="EC38" s="142"/>
      <c r="ED38" s="142"/>
      <c r="EE38" s="142"/>
      <c r="EF38" s="142"/>
      <c r="EG38" s="142"/>
      <c r="EH38" s="142"/>
      <c r="EI38" s="142"/>
      <c r="EJ38" s="142"/>
      <c r="EK38" s="142"/>
      <c r="EL38" s="142"/>
      <c r="EM38" s="142"/>
      <c r="EN38" s="142"/>
      <c r="EO38" s="142"/>
      <c r="EP38" s="142"/>
      <c r="EQ38" s="142"/>
      <c r="ER38" s="142"/>
      <c r="ES38" s="142"/>
      <c r="ET38" s="142"/>
      <c r="EU38" s="142"/>
      <c r="EV38" s="142"/>
      <c r="EW38" s="142"/>
    </row>
    <row r="39" spans="1:153" s="143" customFormat="1" ht="27" customHeight="1">
      <c r="A39" s="3186" t="s">
        <v>681</v>
      </c>
      <c r="B39" s="284">
        <f>SUM(B40:B51)</f>
        <v>2321000</v>
      </c>
      <c r="C39" s="285">
        <f t="shared" si="25"/>
        <v>2.6641943188265789E-4</v>
      </c>
      <c r="D39" s="284">
        <f>SUM(D40:D51)</f>
        <v>2164000</v>
      </c>
      <c r="E39" s="286">
        <f t="shared" si="13"/>
        <v>2.1169281963194601E-4</v>
      </c>
      <c r="F39" s="287">
        <f>SUM(F40:F51)</f>
        <v>157000</v>
      </c>
      <c r="G39" s="288">
        <f t="shared" si="20"/>
        <v>7.2550831792975973E-2</v>
      </c>
      <c r="H39" s="3180" t="s">
        <v>2065</v>
      </c>
      <c r="I39" s="3108">
        <f>세출예산총괄표4!B40</f>
        <v>28600000</v>
      </c>
      <c r="J39" s="3183">
        <f t="shared" si="5"/>
        <v>3.2828934734355953E-3</v>
      </c>
      <c r="K39" s="3108">
        <v>29400000</v>
      </c>
      <c r="L39" s="3183">
        <f t="shared" si="14"/>
        <v>2.8760484174729451E-3</v>
      </c>
      <c r="M39" s="3107">
        <f t="shared" si="27"/>
        <v>-800000</v>
      </c>
      <c r="N39" s="3098">
        <f t="shared" si="26"/>
        <v>-2.7210884353741496E-2</v>
      </c>
      <c r="O39" s="144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2"/>
      <c r="CA39" s="142"/>
      <c r="CB39" s="142"/>
      <c r="CC39" s="142"/>
      <c r="CD39" s="142"/>
      <c r="CE39" s="142"/>
      <c r="CF39" s="142"/>
      <c r="CG39" s="142"/>
      <c r="CH39" s="142"/>
      <c r="CI39" s="142"/>
      <c r="CJ39" s="142"/>
      <c r="CK39" s="142"/>
      <c r="CL39" s="142"/>
      <c r="CM39" s="142"/>
      <c r="CN39" s="142"/>
      <c r="CO39" s="142"/>
      <c r="CP39" s="142"/>
      <c r="CQ39" s="142"/>
      <c r="CR39" s="142"/>
      <c r="CS39" s="142"/>
      <c r="CT39" s="142"/>
      <c r="CU39" s="142"/>
      <c r="CV39" s="142"/>
      <c r="CW39" s="142"/>
      <c r="CX39" s="142"/>
      <c r="CY39" s="142"/>
      <c r="CZ39" s="142"/>
      <c r="DA39" s="142"/>
      <c r="DB39" s="142"/>
      <c r="DC39" s="142"/>
      <c r="DD39" s="142"/>
      <c r="DE39" s="142"/>
      <c r="DF39" s="142"/>
      <c r="DG39" s="142"/>
      <c r="DH39" s="142"/>
      <c r="DI39" s="142"/>
      <c r="DJ39" s="142"/>
      <c r="DK39" s="142"/>
      <c r="DL39" s="142"/>
      <c r="DM39" s="142"/>
      <c r="DN39" s="142"/>
      <c r="DO39" s="142"/>
      <c r="DP39" s="142"/>
      <c r="DQ39" s="142"/>
      <c r="DR39" s="142"/>
      <c r="DS39" s="142"/>
      <c r="DT39" s="142"/>
      <c r="DU39" s="142"/>
      <c r="DV39" s="142"/>
      <c r="DW39" s="142"/>
      <c r="DX39" s="142"/>
      <c r="DY39" s="142"/>
      <c r="DZ39" s="142"/>
      <c r="EA39" s="142"/>
      <c r="EB39" s="142"/>
      <c r="EC39" s="142"/>
      <c r="ED39" s="142"/>
      <c r="EE39" s="142"/>
      <c r="EF39" s="142"/>
      <c r="EG39" s="142"/>
      <c r="EH39" s="142"/>
      <c r="EI39" s="142"/>
      <c r="EJ39" s="142"/>
      <c r="EK39" s="142"/>
      <c r="EL39" s="142"/>
      <c r="EM39" s="142"/>
      <c r="EN39" s="142"/>
      <c r="EO39" s="142"/>
      <c r="EP39" s="142"/>
      <c r="EQ39" s="142"/>
      <c r="ER39" s="142"/>
      <c r="ES39" s="142"/>
      <c r="ET39" s="142"/>
      <c r="EU39" s="142"/>
      <c r="EV39" s="142"/>
      <c r="EW39" s="142"/>
    </row>
    <row r="40" spans="1:153" s="143" customFormat="1" ht="27" customHeight="1">
      <c r="A40" s="3174" t="s">
        <v>574</v>
      </c>
      <c r="B40" s="3106">
        <v>900000</v>
      </c>
      <c r="C40" s="3091">
        <f t="shared" si="25"/>
        <v>1.0330783657664461E-4</v>
      </c>
      <c r="D40" s="3106">
        <v>720000</v>
      </c>
      <c r="E40" s="3091">
        <f t="shared" si="13"/>
        <v>7.0433840173290729E-5</v>
      </c>
      <c r="F40" s="3107">
        <f>+B40-D40</f>
        <v>180000</v>
      </c>
      <c r="G40" s="3093">
        <f t="shared" si="20"/>
        <v>0.25</v>
      </c>
      <c r="H40" s="3180" t="s">
        <v>2066</v>
      </c>
      <c r="I40" s="3108">
        <f>세출예산총괄표4!B41</f>
        <v>4707000</v>
      </c>
      <c r="J40" s="3183">
        <f t="shared" si="5"/>
        <v>5.4029998529585125E-4</v>
      </c>
      <c r="K40" s="3108">
        <v>4030000</v>
      </c>
      <c r="L40" s="3183">
        <f t="shared" si="14"/>
        <v>3.9423384770122342E-4</v>
      </c>
      <c r="M40" s="3107">
        <f t="shared" si="27"/>
        <v>677000</v>
      </c>
      <c r="N40" s="3098">
        <f t="shared" si="26"/>
        <v>0.16799007444168734</v>
      </c>
      <c r="O40" s="144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2"/>
      <c r="BM40" s="142"/>
      <c r="BN40" s="142"/>
      <c r="BO40" s="142"/>
      <c r="BP40" s="142"/>
      <c r="BQ40" s="142"/>
      <c r="BR40" s="142"/>
      <c r="BS40" s="142"/>
      <c r="BT40" s="142"/>
      <c r="BU40" s="142"/>
      <c r="BV40" s="142"/>
      <c r="BW40" s="142"/>
      <c r="BX40" s="142"/>
      <c r="BY40" s="142"/>
      <c r="BZ40" s="142"/>
      <c r="CA40" s="142"/>
      <c r="CB40" s="142"/>
      <c r="CC40" s="142"/>
      <c r="CD40" s="142"/>
      <c r="CE40" s="142"/>
      <c r="CF40" s="142"/>
      <c r="CG40" s="142"/>
      <c r="CH40" s="142"/>
      <c r="CI40" s="142"/>
      <c r="CJ40" s="142"/>
      <c r="CK40" s="142"/>
      <c r="CL40" s="142"/>
      <c r="CM40" s="142"/>
      <c r="CN40" s="142"/>
      <c r="CO40" s="142"/>
      <c r="CP40" s="142"/>
      <c r="CQ40" s="142"/>
      <c r="CR40" s="142"/>
      <c r="CS40" s="142"/>
      <c r="CT40" s="142"/>
      <c r="CU40" s="142"/>
      <c r="CV40" s="142"/>
      <c r="CW40" s="142"/>
      <c r="CX40" s="142"/>
      <c r="CY40" s="142"/>
      <c r="CZ40" s="142"/>
      <c r="DA40" s="142"/>
      <c r="DB40" s="142"/>
      <c r="DC40" s="142"/>
      <c r="DD40" s="142"/>
      <c r="DE40" s="142"/>
      <c r="DF40" s="142"/>
      <c r="DG40" s="142"/>
      <c r="DH40" s="142"/>
      <c r="DI40" s="142"/>
      <c r="DJ40" s="142"/>
      <c r="DK40" s="142"/>
      <c r="DL40" s="142"/>
      <c r="DM40" s="142"/>
      <c r="DN40" s="142"/>
      <c r="DO40" s="142"/>
      <c r="DP40" s="142"/>
      <c r="DQ40" s="142"/>
      <c r="DR40" s="142"/>
      <c r="DS40" s="142"/>
      <c r="DT40" s="142"/>
      <c r="DU40" s="142"/>
      <c r="DV40" s="142"/>
      <c r="DW40" s="142"/>
      <c r="DX40" s="142"/>
      <c r="DY40" s="142"/>
      <c r="DZ40" s="142"/>
      <c r="EA40" s="142"/>
      <c r="EB40" s="142"/>
      <c r="EC40" s="142"/>
      <c r="ED40" s="142"/>
      <c r="EE40" s="142"/>
      <c r="EF40" s="142"/>
      <c r="EG40" s="142"/>
      <c r="EH40" s="142"/>
      <c r="EI40" s="142"/>
      <c r="EJ40" s="142"/>
      <c r="EK40" s="142"/>
      <c r="EL40" s="142"/>
      <c r="EM40" s="142"/>
      <c r="EN40" s="142"/>
      <c r="EO40" s="142"/>
      <c r="EP40" s="142"/>
      <c r="EQ40" s="142"/>
      <c r="ER40" s="142"/>
      <c r="ES40" s="142"/>
      <c r="ET40" s="142"/>
      <c r="EU40" s="142"/>
      <c r="EV40" s="142"/>
      <c r="EW40" s="142"/>
    </row>
    <row r="41" spans="1:153" s="143" customFormat="1" ht="27" customHeight="1">
      <c r="A41" s="3180" t="s">
        <v>576</v>
      </c>
      <c r="B41" s="3108">
        <v>200000</v>
      </c>
      <c r="C41" s="3120">
        <f t="shared" si="25"/>
        <v>2.2957297017032135E-5</v>
      </c>
      <c r="D41" s="3108">
        <v>200000</v>
      </c>
      <c r="E41" s="3120">
        <f t="shared" si="13"/>
        <v>1.9564955603691867E-5</v>
      </c>
      <c r="F41" s="3107">
        <f>+B41-D41</f>
        <v>0</v>
      </c>
      <c r="G41" s="3093">
        <f t="shared" si="20"/>
        <v>0</v>
      </c>
      <c r="H41" s="3180" t="s">
        <v>2067</v>
      </c>
      <c r="I41" s="3108">
        <f>세출예산총괄표4!B42</f>
        <v>80637000</v>
      </c>
      <c r="J41" s="3183">
        <f t="shared" si="5"/>
        <v>9.2560377978121011E-3</v>
      </c>
      <c r="K41" s="3108">
        <v>53855000</v>
      </c>
      <c r="L41" s="3183">
        <f t="shared" si="14"/>
        <v>5.2683533171090291E-3</v>
      </c>
      <c r="M41" s="3107">
        <f t="shared" si="27"/>
        <v>26782000</v>
      </c>
      <c r="N41" s="3098">
        <f t="shared" si="26"/>
        <v>0.49729830099340822</v>
      </c>
      <c r="O41" s="144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2"/>
      <c r="BM41" s="142"/>
      <c r="BN41" s="142"/>
      <c r="BO41" s="142"/>
      <c r="BP41" s="142"/>
      <c r="BQ41" s="142"/>
      <c r="BR41" s="142"/>
      <c r="BS41" s="142"/>
      <c r="BT41" s="142"/>
      <c r="BU41" s="142"/>
      <c r="BV41" s="142"/>
      <c r="BW41" s="142"/>
      <c r="BX41" s="142"/>
      <c r="BY41" s="142"/>
      <c r="BZ41" s="142"/>
      <c r="CA41" s="142"/>
      <c r="CB41" s="142"/>
      <c r="CC41" s="142"/>
      <c r="CD41" s="142"/>
      <c r="CE41" s="142"/>
      <c r="CF41" s="142"/>
      <c r="CG41" s="142"/>
      <c r="CH41" s="142"/>
      <c r="CI41" s="142"/>
      <c r="CJ41" s="142"/>
      <c r="CK41" s="142"/>
      <c r="CL41" s="142"/>
      <c r="CM41" s="142"/>
      <c r="CN41" s="142"/>
      <c r="CO41" s="142"/>
      <c r="CP41" s="142"/>
      <c r="CQ41" s="142"/>
      <c r="CR41" s="142"/>
      <c r="CS41" s="142"/>
      <c r="CT41" s="142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  <c r="DG41" s="142"/>
      <c r="DH41" s="142"/>
      <c r="DI41" s="142"/>
      <c r="DJ41" s="142"/>
      <c r="DK41" s="142"/>
      <c r="DL41" s="142"/>
      <c r="DM41" s="142"/>
      <c r="DN41" s="142"/>
      <c r="DO41" s="142"/>
      <c r="DP41" s="142"/>
      <c r="DQ41" s="142"/>
      <c r="DR41" s="142"/>
      <c r="DS41" s="142"/>
      <c r="DT41" s="142"/>
      <c r="DU41" s="142"/>
      <c r="DV41" s="142"/>
      <c r="DW41" s="142"/>
      <c r="DX41" s="142"/>
      <c r="DY41" s="142"/>
      <c r="DZ41" s="142"/>
      <c r="EA41" s="142"/>
      <c r="EB41" s="142"/>
      <c r="EC41" s="142"/>
      <c r="ED41" s="142"/>
      <c r="EE41" s="142"/>
      <c r="EF41" s="142"/>
      <c r="EG41" s="142"/>
      <c r="EH41" s="142"/>
      <c r="EI41" s="142"/>
      <c r="EJ41" s="142"/>
      <c r="EK41" s="142"/>
      <c r="EL41" s="142"/>
      <c r="EM41" s="142"/>
      <c r="EN41" s="142"/>
      <c r="EO41" s="142"/>
      <c r="EP41" s="142"/>
      <c r="EQ41" s="142"/>
      <c r="ER41" s="142"/>
      <c r="ES41" s="142"/>
      <c r="ET41" s="142"/>
      <c r="EU41" s="142"/>
      <c r="EV41" s="142"/>
      <c r="EW41" s="142"/>
    </row>
    <row r="42" spans="1:153" s="143" customFormat="1" ht="27" customHeight="1">
      <c r="A42" s="3180" t="s">
        <v>578</v>
      </c>
      <c r="B42" s="3108">
        <v>240000</v>
      </c>
      <c r="C42" s="3096">
        <f t="shared" si="25"/>
        <v>2.7548756420438562E-5</v>
      </c>
      <c r="D42" s="3108">
        <v>240000</v>
      </c>
      <c r="E42" s="3096">
        <f t="shared" si="13"/>
        <v>2.3477946724430241E-5</v>
      </c>
      <c r="F42" s="3107">
        <f t="shared" ref="F42:F51" si="29">+B42-D42</f>
        <v>0</v>
      </c>
      <c r="G42" s="3093">
        <f t="shared" si="20"/>
        <v>0</v>
      </c>
      <c r="H42" s="3180" t="s">
        <v>2068</v>
      </c>
      <c r="I42" s="3108">
        <f>세출예산총괄표4!B43</f>
        <v>7600000</v>
      </c>
      <c r="J42" s="3183">
        <f t="shared" si="5"/>
        <v>8.7237728664722107E-4</v>
      </c>
      <c r="K42" s="3108">
        <v>5000000</v>
      </c>
      <c r="L42" s="3183">
        <f t="shared" si="14"/>
        <v>4.8912388052260974E-4</v>
      </c>
      <c r="M42" s="3107">
        <f t="shared" si="27"/>
        <v>2600000</v>
      </c>
      <c r="N42" s="3098">
        <f t="shared" si="26"/>
        <v>0.52</v>
      </c>
      <c r="O42" s="144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2"/>
      <c r="BM42" s="142"/>
      <c r="BN42" s="142"/>
      <c r="BO42" s="142"/>
      <c r="BP42" s="142"/>
      <c r="BQ42" s="142"/>
      <c r="BR42" s="142"/>
      <c r="BS42" s="142"/>
      <c r="BT42" s="142"/>
      <c r="BU42" s="142"/>
      <c r="BV42" s="142"/>
      <c r="BW42" s="142"/>
      <c r="BX42" s="142"/>
      <c r="BY42" s="142"/>
      <c r="BZ42" s="142"/>
      <c r="CA42" s="142"/>
      <c r="CB42" s="142"/>
      <c r="CC42" s="142"/>
      <c r="CD42" s="142"/>
      <c r="CE42" s="142"/>
      <c r="CF42" s="142"/>
      <c r="CG42" s="142"/>
      <c r="CH42" s="142"/>
      <c r="CI42" s="142"/>
      <c r="CJ42" s="142"/>
      <c r="CK42" s="142"/>
      <c r="CL42" s="142"/>
      <c r="CM42" s="142"/>
      <c r="CN42" s="142"/>
      <c r="CO42" s="142"/>
      <c r="CP42" s="142"/>
      <c r="CQ42" s="142"/>
      <c r="CR42" s="142"/>
      <c r="CS42" s="142"/>
      <c r="CT42" s="142"/>
      <c r="CU42" s="142"/>
      <c r="CV42" s="142"/>
      <c r="CW42" s="142"/>
      <c r="CX42" s="142"/>
      <c r="CY42" s="142"/>
      <c r="CZ42" s="142"/>
      <c r="DA42" s="142"/>
      <c r="DB42" s="142"/>
      <c r="DC42" s="142"/>
      <c r="DD42" s="142"/>
      <c r="DE42" s="142"/>
      <c r="DF42" s="142"/>
      <c r="DG42" s="142"/>
      <c r="DH42" s="142"/>
      <c r="DI42" s="142"/>
      <c r="DJ42" s="142"/>
      <c r="DK42" s="142"/>
      <c r="DL42" s="142"/>
      <c r="DM42" s="142"/>
      <c r="DN42" s="142"/>
      <c r="DO42" s="142"/>
      <c r="DP42" s="142"/>
      <c r="DQ42" s="142"/>
      <c r="DR42" s="142"/>
      <c r="DS42" s="142"/>
      <c r="DT42" s="142"/>
      <c r="DU42" s="142"/>
      <c r="DV42" s="142"/>
      <c r="DW42" s="142"/>
      <c r="DX42" s="142"/>
      <c r="DY42" s="142"/>
      <c r="DZ42" s="142"/>
      <c r="EA42" s="142"/>
      <c r="EB42" s="142"/>
      <c r="EC42" s="142"/>
      <c r="ED42" s="142"/>
      <c r="EE42" s="142"/>
      <c r="EF42" s="142"/>
      <c r="EG42" s="142"/>
      <c r="EH42" s="142"/>
      <c r="EI42" s="142"/>
      <c r="EJ42" s="142"/>
      <c r="EK42" s="142"/>
      <c r="EL42" s="142"/>
      <c r="EM42" s="142"/>
      <c r="EN42" s="142"/>
      <c r="EO42" s="142"/>
      <c r="EP42" s="142"/>
      <c r="EQ42" s="142"/>
      <c r="ER42" s="142"/>
      <c r="ES42" s="142"/>
      <c r="ET42" s="142"/>
      <c r="EU42" s="142"/>
      <c r="EV42" s="142"/>
      <c r="EW42" s="142"/>
    </row>
    <row r="43" spans="1:153" s="143" customFormat="1" ht="27" customHeight="1">
      <c r="A43" s="3180" t="s">
        <v>580</v>
      </c>
      <c r="B43" s="3108">
        <v>100000</v>
      </c>
      <c r="C43" s="3096">
        <f t="shared" si="25"/>
        <v>1.1478648508516067E-5</v>
      </c>
      <c r="D43" s="3108">
        <v>100000</v>
      </c>
      <c r="E43" s="3096">
        <f t="shared" si="13"/>
        <v>9.7824778018459337E-6</v>
      </c>
      <c r="F43" s="3107">
        <f t="shared" si="29"/>
        <v>0</v>
      </c>
      <c r="G43" s="3098">
        <f t="shared" si="20"/>
        <v>0</v>
      </c>
      <c r="H43" s="3180" t="s">
        <v>2062</v>
      </c>
      <c r="I43" s="3108">
        <f>세출예산총괄표4!B44</f>
        <v>12168000</v>
      </c>
      <c r="J43" s="3183">
        <f t="shared" si="5"/>
        <v>1.396721950516235E-3</v>
      </c>
      <c r="K43" s="3108">
        <v>49601000</v>
      </c>
      <c r="L43" s="3183">
        <f t="shared" si="14"/>
        <v>4.8522067195603926E-3</v>
      </c>
      <c r="M43" s="3107">
        <f t="shared" si="27"/>
        <v>-37433000</v>
      </c>
      <c r="N43" s="3098">
        <f t="shared" si="26"/>
        <v>-0.75468236527489363</v>
      </c>
      <c r="O43" s="144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2"/>
      <c r="BM43" s="142"/>
      <c r="BN43" s="142"/>
      <c r="BO43" s="142"/>
      <c r="BP43" s="142"/>
      <c r="BQ43" s="142"/>
      <c r="BR43" s="142"/>
      <c r="BS43" s="142"/>
      <c r="BT43" s="142"/>
      <c r="BU43" s="142"/>
      <c r="BV43" s="142"/>
      <c r="BW43" s="142"/>
      <c r="BX43" s="142"/>
      <c r="BY43" s="142"/>
      <c r="BZ43" s="142"/>
      <c r="CA43" s="142"/>
      <c r="CB43" s="142"/>
      <c r="CC43" s="142"/>
      <c r="CD43" s="142"/>
      <c r="CE43" s="142"/>
      <c r="CF43" s="142"/>
      <c r="CG43" s="142"/>
      <c r="CH43" s="142"/>
      <c r="CI43" s="142"/>
      <c r="CJ43" s="142"/>
      <c r="CK43" s="142"/>
      <c r="CL43" s="142"/>
      <c r="CM43" s="142"/>
      <c r="CN43" s="142"/>
      <c r="CO43" s="142"/>
      <c r="CP43" s="142"/>
      <c r="CQ43" s="142"/>
      <c r="CR43" s="142"/>
      <c r="CS43" s="142"/>
      <c r="CT43" s="142"/>
      <c r="CU43" s="142"/>
      <c r="CV43" s="142"/>
      <c r="CW43" s="142"/>
      <c r="CX43" s="142"/>
      <c r="CY43" s="142"/>
      <c r="CZ43" s="142"/>
      <c r="DA43" s="142"/>
      <c r="DB43" s="142"/>
      <c r="DC43" s="142"/>
      <c r="DD43" s="142"/>
      <c r="DE43" s="142"/>
      <c r="DF43" s="142"/>
      <c r="DG43" s="142"/>
      <c r="DH43" s="142"/>
      <c r="DI43" s="142"/>
      <c r="DJ43" s="142"/>
      <c r="DK43" s="142"/>
      <c r="DL43" s="142"/>
      <c r="DM43" s="142"/>
      <c r="DN43" s="142"/>
      <c r="DO43" s="142"/>
      <c r="DP43" s="142"/>
      <c r="DQ43" s="142"/>
      <c r="DR43" s="142"/>
      <c r="DS43" s="142"/>
      <c r="DT43" s="142"/>
      <c r="DU43" s="142"/>
      <c r="DV43" s="142"/>
      <c r="DW43" s="142"/>
      <c r="DX43" s="142"/>
      <c r="DY43" s="142"/>
      <c r="DZ43" s="142"/>
      <c r="EA43" s="142"/>
      <c r="EB43" s="142"/>
      <c r="EC43" s="142"/>
      <c r="ED43" s="142"/>
      <c r="EE43" s="142"/>
      <c r="EF43" s="142"/>
      <c r="EG43" s="142"/>
      <c r="EH43" s="142"/>
      <c r="EI43" s="142"/>
      <c r="EJ43" s="142"/>
      <c r="EK43" s="142"/>
      <c r="EL43" s="142"/>
      <c r="EM43" s="142"/>
      <c r="EN43" s="142"/>
      <c r="EO43" s="142"/>
      <c r="EP43" s="142"/>
      <c r="EQ43" s="142"/>
      <c r="ER43" s="142"/>
      <c r="ES43" s="142"/>
      <c r="ET43" s="142"/>
      <c r="EU43" s="142"/>
      <c r="EV43" s="142"/>
      <c r="EW43" s="142"/>
    </row>
    <row r="44" spans="1:153" s="143" customFormat="1" ht="27" customHeight="1">
      <c r="A44" s="3180" t="s">
        <v>582</v>
      </c>
      <c r="B44" s="3108">
        <v>70000</v>
      </c>
      <c r="C44" s="3096">
        <f t="shared" si="25"/>
        <v>8.0350539559612472E-6</v>
      </c>
      <c r="D44" s="3108">
        <v>100000</v>
      </c>
      <c r="E44" s="3096">
        <f t="shared" si="13"/>
        <v>9.7824778018459337E-6</v>
      </c>
      <c r="F44" s="3107">
        <f t="shared" si="29"/>
        <v>-30000</v>
      </c>
      <c r="G44" s="3093">
        <f t="shared" si="20"/>
        <v>-0.3</v>
      </c>
      <c r="H44" s="3180" t="s">
        <v>2069</v>
      </c>
      <c r="I44" s="3108">
        <f>세출예산총괄표4!B45</f>
        <v>30000000</v>
      </c>
      <c r="J44" s="3183">
        <f t="shared" si="5"/>
        <v>3.44359455255482E-3</v>
      </c>
      <c r="K44" s="3108">
        <v>32226000</v>
      </c>
      <c r="L44" s="3183">
        <f t="shared" si="14"/>
        <v>3.1525012347443241E-3</v>
      </c>
      <c r="M44" s="3107">
        <f t="shared" si="27"/>
        <v>-2226000</v>
      </c>
      <c r="N44" s="3098">
        <f t="shared" si="26"/>
        <v>-6.9074660212250977E-2</v>
      </c>
      <c r="O44" s="144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  <c r="BO44" s="142"/>
      <c r="BP44" s="142"/>
      <c r="BQ44" s="142"/>
      <c r="BR44" s="142"/>
      <c r="BS44" s="142"/>
      <c r="BT44" s="142"/>
      <c r="BU44" s="142"/>
      <c r="BV44" s="142"/>
      <c r="BW44" s="142"/>
      <c r="BX44" s="142"/>
      <c r="BY44" s="142"/>
      <c r="BZ44" s="142"/>
      <c r="CA44" s="142"/>
      <c r="CB44" s="142"/>
      <c r="CC44" s="142"/>
      <c r="CD44" s="142"/>
      <c r="CE44" s="142"/>
      <c r="CF44" s="142"/>
      <c r="CG44" s="142"/>
      <c r="CH44" s="142"/>
      <c r="CI44" s="142"/>
      <c r="CJ44" s="142"/>
      <c r="CK44" s="142"/>
      <c r="CL44" s="142"/>
      <c r="CM44" s="142"/>
      <c r="CN44" s="142"/>
      <c r="CO44" s="142"/>
      <c r="CP44" s="142"/>
      <c r="CQ44" s="142"/>
      <c r="CR44" s="142"/>
      <c r="CS44" s="142"/>
      <c r="CT44" s="142"/>
      <c r="CU44" s="142"/>
      <c r="CV44" s="142"/>
      <c r="CW44" s="142"/>
      <c r="CX44" s="142"/>
      <c r="CY44" s="142"/>
      <c r="CZ44" s="142"/>
      <c r="DA44" s="142"/>
      <c r="DB44" s="142"/>
      <c r="DC44" s="142"/>
      <c r="DD44" s="142"/>
      <c r="DE44" s="142"/>
      <c r="DF44" s="142"/>
      <c r="DG44" s="142"/>
      <c r="DH44" s="142"/>
      <c r="DI44" s="142"/>
      <c r="DJ44" s="142"/>
      <c r="DK44" s="142"/>
      <c r="DL44" s="142"/>
      <c r="DM44" s="142"/>
      <c r="DN44" s="142"/>
      <c r="DO44" s="142"/>
      <c r="DP44" s="142"/>
      <c r="DQ44" s="142"/>
      <c r="DR44" s="142"/>
      <c r="DS44" s="142"/>
      <c r="DT44" s="142"/>
      <c r="DU44" s="142"/>
      <c r="DV44" s="142"/>
      <c r="DW44" s="142"/>
      <c r="DX44" s="142"/>
      <c r="DY44" s="142"/>
      <c r="DZ44" s="142"/>
      <c r="EA44" s="142"/>
      <c r="EB44" s="142"/>
      <c r="EC44" s="142"/>
      <c r="ED44" s="142"/>
      <c r="EE44" s="142"/>
      <c r="EF44" s="142"/>
      <c r="EG44" s="142"/>
      <c r="EH44" s="142"/>
      <c r="EI44" s="142"/>
      <c r="EJ44" s="142"/>
      <c r="EK44" s="142"/>
      <c r="EL44" s="142"/>
      <c r="EM44" s="142"/>
      <c r="EN44" s="142"/>
      <c r="EO44" s="142"/>
      <c r="EP44" s="142"/>
      <c r="EQ44" s="142"/>
      <c r="ER44" s="142"/>
      <c r="ES44" s="142"/>
      <c r="ET44" s="142"/>
      <c r="EU44" s="142"/>
      <c r="EV44" s="142"/>
      <c r="EW44" s="142"/>
    </row>
    <row r="45" spans="1:153" s="143" customFormat="1" ht="27" customHeight="1">
      <c r="A45" s="3180" t="s">
        <v>333</v>
      </c>
      <c r="B45" s="3108">
        <v>10000</v>
      </c>
      <c r="C45" s="3096">
        <f t="shared" si="25"/>
        <v>1.1478648508516067E-6</v>
      </c>
      <c r="D45" s="3108">
        <v>10000</v>
      </c>
      <c r="E45" s="3096">
        <f t="shared" si="13"/>
        <v>9.7824778018459337E-7</v>
      </c>
      <c r="F45" s="3107">
        <f t="shared" si="29"/>
        <v>0</v>
      </c>
      <c r="G45" s="3093">
        <f t="shared" si="20"/>
        <v>0</v>
      </c>
      <c r="H45" s="3180" t="s">
        <v>499</v>
      </c>
      <c r="I45" s="3108">
        <f>세출예산총괄표4!B46</f>
        <v>6610000</v>
      </c>
      <c r="J45" s="3183">
        <f t="shared" si="5"/>
        <v>7.5873866641291206E-4</v>
      </c>
      <c r="K45" s="3108">
        <v>0</v>
      </c>
      <c r="L45" s="3183">
        <f t="shared" si="14"/>
        <v>0</v>
      </c>
      <c r="M45" s="3107">
        <f t="shared" ref="M45:M46" si="30">+I45-K45</f>
        <v>6610000</v>
      </c>
      <c r="N45" s="3098"/>
      <c r="O45" s="144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  <c r="AT45" s="142"/>
      <c r="AU45" s="142"/>
      <c r="AV45" s="142"/>
      <c r="AW45" s="142"/>
      <c r="AX45" s="142"/>
      <c r="AY45" s="142"/>
      <c r="AZ45" s="142"/>
      <c r="BA45" s="142"/>
      <c r="BB45" s="142"/>
      <c r="BC45" s="142"/>
      <c r="BD45" s="142"/>
      <c r="BE45" s="142"/>
      <c r="BF45" s="142"/>
      <c r="BG45" s="142"/>
      <c r="BH45" s="142"/>
      <c r="BI45" s="142"/>
      <c r="BJ45" s="142"/>
      <c r="BK45" s="142"/>
      <c r="BL45" s="142"/>
      <c r="BM45" s="142"/>
      <c r="BN45" s="142"/>
      <c r="BO45" s="142"/>
      <c r="BP45" s="142"/>
      <c r="BQ45" s="142"/>
      <c r="BR45" s="142"/>
      <c r="BS45" s="142"/>
      <c r="BT45" s="142"/>
      <c r="BU45" s="142"/>
      <c r="BV45" s="142"/>
      <c r="BW45" s="142"/>
      <c r="BX45" s="142"/>
      <c r="BY45" s="142"/>
      <c r="BZ45" s="142"/>
      <c r="CA45" s="142"/>
      <c r="CB45" s="142"/>
      <c r="CC45" s="142"/>
      <c r="CD45" s="142"/>
      <c r="CE45" s="142"/>
      <c r="CF45" s="142"/>
      <c r="CG45" s="142"/>
      <c r="CH45" s="142"/>
      <c r="CI45" s="142"/>
      <c r="CJ45" s="142"/>
      <c r="CK45" s="142"/>
      <c r="CL45" s="142"/>
      <c r="CM45" s="142"/>
      <c r="CN45" s="142"/>
      <c r="CO45" s="142"/>
      <c r="CP45" s="142"/>
      <c r="CQ45" s="142"/>
      <c r="CR45" s="142"/>
      <c r="CS45" s="142"/>
      <c r="CT45" s="142"/>
      <c r="CU45" s="142"/>
      <c r="CV45" s="142"/>
      <c r="CW45" s="142"/>
      <c r="CX45" s="142"/>
      <c r="CY45" s="142"/>
      <c r="CZ45" s="142"/>
      <c r="DA45" s="142"/>
      <c r="DB45" s="142"/>
      <c r="DC45" s="142"/>
      <c r="DD45" s="142"/>
      <c r="DE45" s="142"/>
      <c r="DF45" s="142"/>
      <c r="DG45" s="142"/>
      <c r="DH45" s="142"/>
      <c r="DI45" s="142"/>
      <c r="DJ45" s="142"/>
      <c r="DK45" s="142"/>
      <c r="DL45" s="142"/>
      <c r="DM45" s="142"/>
      <c r="DN45" s="142"/>
      <c r="DO45" s="142"/>
      <c r="DP45" s="142"/>
      <c r="DQ45" s="142"/>
      <c r="DR45" s="142"/>
      <c r="DS45" s="142"/>
      <c r="DT45" s="142"/>
      <c r="DU45" s="142"/>
      <c r="DV45" s="142"/>
      <c r="DW45" s="142"/>
      <c r="DX45" s="142"/>
      <c r="DY45" s="142"/>
      <c r="DZ45" s="142"/>
      <c r="EA45" s="142"/>
      <c r="EB45" s="142"/>
      <c r="EC45" s="142"/>
      <c r="ED45" s="142"/>
      <c r="EE45" s="142"/>
      <c r="EF45" s="142"/>
      <c r="EG45" s="142"/>
      <c r="EH45" s="142"/>
      <c r="EI45" s="142"/>
      <c r="EJ45" s="142"/>
      <c r="EK45" s="142"/>
      <c r="EL45" s="142"/>
      <c r="EM45" s="142"/>
      <c r="EN45" s="142"/>
      <c r="EO45" s="142"/>
      <c r="EP45" s="142"/>
      <c r="EQ45" s="142"/>
      <c r="ER45" s="142"/>
      <c r="ES45" s="142"/>
      <c r="ET45" s="142"/>
      <c r="EU45" s="142"/>
      <c r="EV45" s="142"/>
      <c r="EW45" s="142"/>
    </row>
    <row r="46" spans="1:153" s="143" customFormat="1" ht="27" customHeight="1">
      <c r="A46" s="3180" t="s">
        <v>583</v>
      </c>
      <c r="B46" s="3108">
        <v>233000</v>
      </c>
      <c r="C46" s="3096">
        <f t="shared" si="25"/>
        <v>2.6745251024842435E-5</v>
      </c>
      <c r="D46" s="3108">
        <v>233000</v>
      </c>
      <c r="E46" s="3096">
        <f t="shared" si="13"/>
        <v>2.2793173278301027E-5</v>
      </c>
      <c r="F46" s="3107">
        <f t="shared" si="29"/>
        <v>0</v>
      </c>
      <c r="G46" s="3093">
        <f t="shared" si="20"/>
        <v>0</v>
      </c>
      <c r="H46" s="3193" t="s">
        <v>531</v>
      </c>
      <c r="I46" s="3153">
        <f>세출예산총괄표4!B47</f>
        <v>18500000</v>
      </c>
      <c r="J46" s="3112">
        <f t="shared" ref="J46" si="31">+I46/$B$6</f>
        <v>2.1235499740754724E-3</v>
      </c>
      <c r="K46" s="3153">
        <v>10500000</v>
      </c>
      <c r="L46" s="3189">
        <f t="shared" si="14"/>
        <v>1.0271601490974803E-3</v>
      </c>
      <c r="M46" s="3154">
        <f t="shared" si="30"/>
        <v>8000000</v>
      </c>
      <c r="N46" s="3114">
        <f t="shared" ref="N46" si="32">+M46/K46</f>
        <v>0.76190476190476186</v>
      </c>
      <c r="O46" s="144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  <c r="DG46" s="142"/>
      <c r="DH46" s="142"/>
      <c r="DI46" s="142"/>
      <c r="DJ46" s="142"/>
      <c r="DK46" s="142"/>
      <c r="DL46" s="142"/>
      <c r="DM46" s="142"/>
      <c r="DN46" s="142"/>
      <c r="DO46" s="142"/>
      <c r="DP46" s="142"/>
      <c r="DQ46" s="142"/>
      <c r="DR46" s="142"/>
      <c r="DS46" s="142"/>
      <c r="DT46" s="142"/>
      <c r="DU46" s="142"/>
      <c r="DV46" s="142"/>
      <c r="DW46" s="142"/>
      <c r="DX46" s="142"/>
      <c r="DY46" s="142"/>
      <c r="DZ46" s="142"/>
      <c r="EA46" s="142"/>
      <c r="EB46" s="142"/>
      <c r="EC46" s="142"/>
      <c r="ED46" s="142"/>
      <c r="EE46" s="142"/>
      <c r="EF46" s="142"/>
      <c r="EG46" s="142"/>
      <c r="EH46" s="142"/>
      <c r="EI46" s="142"/>
      <c r="EJ46" s="142"/>
      <c r="EK46" s="142"/>
      <c r="EL46" s="142"/>
      <c r="EM46" s="142"/>
      <c r="EN46" s="142"/>
      <c r="EO46" s="142"/>
      <c r="EP46" s="142"/>
      <c r="EQ46" s="142"/>
      <c r="ER46" s="142"/>
      <c r="ES46" s="142"/>
      <c r="ET46" s="142"/>
      <c r="EU46" s="142"/>
      <c r="EV46" s="142"/>
      <c r="EW46" s="142"/>
    </row>
    <row r="47" spans="1:153" s="143" customFormat="1" ht="27" customHeight="1">
      <c r="A47" s="3180" t="s">
        <v>585</v>
      </c>
      <c r="B47" s="3108">
        <v>500000</v>
      </c>
      <c r="C47" s="3096">
        <f t="shared" si="25"/>
        <v>5.739324254258033E-5</v>
      </c>
      <c r="D47" s="3108">
        <v>500000</v>
      </c>
      <c r="E47" s="3096">
        <f t="shared" si="13"/>
        <v>4.891238900922967E-5</v>
      </c>
      <c r="F47" s="3107">
        <f t="shared" si="29"/>
        <v>0</v>
      </c>
      <c r="G47" s="3093">
        <f t="shared" si="20"/>
        <v>0</v>
      </c>
      <c r="H47" s="3186" t="s">
        <v>688</v>
      </c>
      <c r="I47" s="284">
        <f>SUM(I48:I54)</f>
        <v>0</v>
      </c>
      <c r="J47" s="367">
        <f>I47/$I$6</f>
        <v>0</v>
      </c>
      <c r="K47" s="284">
        <f>SUM(K48:K54)</f>
        <v>1553941000</v>
      </c>
      <c r="L47" s="367">
        <f>K47/$K$6</f>
        <v>0.15201393040463693</v>
      </c>
      <c r="M47" s="287">
        <f>SUM(M48:M54)</f>
        <v>-1553941000</v>
      </c>
      <c r="N47" s="288">
        <f>+M47/K47</f>
        <v>-1</v>
      </c>
      <c r="O47" s="144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  <c r="DG47" s="142"/>
      <c r="DH47" s="142"/>
      <c r="DI47" s="142"/>
      <c r="DJ47" s="142"/>
      <c r="DK47" s="142"/>
      <c r="DL47" s="142"/>
      <c r="DM47" s="142"/>
      <c r="DN47" s="142"/>
      <c r="DO47" s="142"/>
      <c r="DP47" s="142"/>
      <c r="DQ47" s="142"/>
      <c r="DR47" s="142"/>
      <c r="DS47" s="142"/>
      <c r="DT47" s="142"/>
      <c r="DU47" s="142"/>
      <c r="DV47" s="142"/>
      <c r="DW47" s="142"/>
      <c r="DX47" s="142"/>
      <c r="DY47" s="142"/>
      <c r="DZ47" s="142"/>
      <c r="EA47" s="142"/>
      <c r="EB47" s="142"/>
      <c r="EC47" s="142"/>
      <c r="ED47" s="142"/>
      <c r="EE47" s="142"/>
      <c r="EF47" s="142"/>
      <c r="EG47" s="142"/>
      <c r="EH47" s="142"/>
      <c r="EI47" s="142"/>
      <c r="EJ47" s="142"/>
      <c r="EK47" s="142"/>
      <c r="EL47" s="142"/>
      <c r="EM47" s="142"/>
      <c r="EN47" s="142"/>
      <c r="EO47" s="142"/>
      <c r="EP47" s="142"/>
      <c r="EQ47" s="142"/>
      <c r="ER47" s="142"/>
      <c r="ES47" s="142"/>
      <c r="ET47" s="142"/>
      <c r="EU47" s="142"/>
      <c r="EV47" s="142"/>
      <c r="EW47" s="142"/>
    </row>
    <row r="48" spans="1:153" s="143" customFormat="1" ht="27" customHeight="1">
      <c r="A48" s="3180" t="s">
        <v>438</v>
      </c>
      <c r="B48" s="3108">
        <v>24000</v>
      </c>
      <c r="C48" s="3096">
        <f t="shared" si="25"/>
        <v>2.754875642043856E-6</v>
      </c>
      <c r="D48" s="3108">
        <v>24000</v>
      </c>
      <c r="E48" s="3096">
        <f t="shared" si="13"/>
        <v>2.347794672443024E-6</v>
      </c>
      <c r="F48" s="3107">
        <f t="shared" si="29"/>
        <v>0</v>
      </c>
      <c r="G48" s="3093">
        <f t="shared" si="20"/>
        <v>0</v>
      </c>
      <c r="H48" s="3205" t="s">
        <v>2063</v>
      </c>
      <c r="I48" s="3149">
        <v>0</v>
      </c>
      <c r="J48" s="3177">
        <f t="shared" ref="J48:J69" si="33">I48/$I$6</f>
        <v>0</v>
      </c>
      <c r="K48" s="3149">
        <v>2800000</v>
      </c>
      <c r="L48" s="3177">
        <f t="shared" si="14"/>
        <v>2.7390937309266144E-4</v>
      </c>
      <c r="M48" s="3151">
        <f>+I48-K48</f>
        <v>-2800000</v>
      </c>
      <c r="N48" s="3152">
        <f t="shared" ref="N48:N66" si="34">+M48/K48</f>
        <v>-1</v>
      </c>
      <c r="O48" s="144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  <c r="AT48" s="142"/>
      <c r="AU48" s="142"/>
      <c r="AV48" s="142"/>
      <c r="AW48" s="142"/>
      <c r="AX48" s="142"/>
      <c r="AY48" s="142"/>
      <c r="AZ48" s="142"/>
      <c r="BA48" s="142"/>
      <c r="BB48" s="142"/>
      <c r="BC48" s="142"/>
      <c r="BD48" s="142"/>
      <c r="BE48" s="142"/>
      <c r="BF48" s="142"/>
      <c r="BG48" s="142"/>
      <c r="BH48" s="142"/>
      <c r="BI48" s="142"/>
      <c r="BJ48" s="142"/>
      <c r="BK48" s="142"/>
      <c r="BL48" s="142"/>
      <c r="BM48" s="142"/>
      <c r="BN48" s="142"/>
      <c r="BO48" s="142"/>
      <c r="BP48" s="142"/>
      <c r="BQ48" s="142"/>
      <c r="BR48" s="142"/>
      <c r="BS48" s="142"/>
      <c r="BT48" s="142"/>
      <c r="BU48" s="142"/>
      <c r="BV48" s="142"/>
      <c r="BW48" s="142"/>
      <c r="BX48" s="142"/>
      <c r="BY48" s="142"/>
      <c r="BZ48" s="142"/>
      <c r="CA48" s="142"/>
      <c r="CB48" s="142"/>
      <c r="CC48" s="142"/>
      <c r="CD48" s="142"/>
      <c r="CE48" s="142"/>
      <c r="CF48" s="142"/>
      <c r="CG48" s="142"/>
      <c r="CH48" s="142"/>
      <c r="CI48" s="142"/>
      <c r="CJ48" s="142"/>
      <c r="CK48" s="142"/>
      <c r="CL48" s="142"/>
      <c r="CM48" s="142"/>
      <c r="CN48" s="142"/>
      <c r="CO48" s="142"/>
      <c r="CP48" s="142"/>
      <c r="CQ48" s="142"/>
      <c r="CR48" s="142"/>
      <c r="CS48" s="142"/>
      <c r="CT48" s="142"/>
      <c r="CU48" s="142"/>
      <c r="CV48" s="142"/>
      <c r="CW48" s="142"/>
      <c r="CX48" s="142"/>
      <c r="CY48" s="142"/>
      <c r="CZ48" s="142"/>
      <c r="DA48" s="142"/>
      <c r="DB48" s="142"/>
      <c r="DC48" s="142"/>
      <c r="DD48" s="142"/>
      <c r="DE48" s="142"/>
      <c r="DF48" s="142"/>
      <c r="DG48" s="142"/>
      <c r="DH48" s="142"/>
      <c r="DI48" s="142"/>
      <c r="DJ48" s="142"/>
      <c r="DK48" s="142"/>
      <c r="DL48" s="142"/>
      <c r="DM48" s="142"/>
      <c r="DN48" s="142"/>
      <c r="DO48" s="142"/>
      <c r="DP48" s="142"/>
      <c r="DQ48" s="142"/>
      <c r="DR48" s="142"/>
      <c r="DS48" s="142"/>
      <c r="DT48" s="142"/>
      <c r="DU48" s="142"/>
      <c r="DV48" s="142"/>
      <c r="DW48" s="142"/>
      <c r="DX48" s="142"/>
      <c r="DY48" s="142"/>
      <c r="DZ48" s="142"/>
      <c r="EA48" s="142"/>
      <c r="EB48" s="142"/>
      <c r="EC48" s="142"/>
      <c r="ED48" s="142"/>
      <c r="EE48" s="142"/>
      <c r="EF48" s="142"/>
      <c r="EG48" s="142"/>
      <c r="EH48" s="142"/>
      <c r="EI48" s="142"/>
      <c r="EJ48" s="142"/>
      <c r="EK48" s="142"/>
      <c r="EL48" s="142"/>
      <c r="EM48" s="142"/>
      <c r="EN48" s="142"/>
      <c r="EO48" s="142"/>
      <c r="EP48" s="142"/>
      <c r="EQ48" s="142"/>
      <c r="ER48" s="142"/>
      <c r="ES48" s="142"/>
      <c r="ET48" s="142"/>
      <c r="EU48" s="142"/>
      <c r="EV48" s="142"/>
      <c r="EW48" s="142"/>
    </row>
    <row r="49" spans="1:153" s="143" customFormat="1" ht="27" customHeight="1">
      <c r="A49" s="3180" t="s">
        <v>587</v>
      </c>
      <c r="B49" s="3108">
        <v>20000</v>
      </c>
      <c r="C49" s="3096">
        <f t="shared" si="25"/>
        <v>2.2957297017032135E-6</v>
      </c>
      <c r="D49" s="3108">
        <v>13000</v>
      </c>
      <c r="E49" s="3096">
        <f t="shared" si="13"/>
        <v>1.2717221142399714E-6</v>
      </c>
      <c r="F49" s="3107">
        <f t="shared" si="29"/>
        <v>7000</v>
      </c>
      <c r="G49" s="3093">
        <f t="shared" si="20"/>
        <v>0.53846153846153844</v>
      </c>
      <c r="H49" s="3180" t="s">
        <v>2060</v>
      </c>
      <c r="I49" s="3108">
        <v>0</v>
      </c>
      <c r="J49" s="3183">
        <f t="shared" si="33"/>
        <v>0</v>
      </c>
      <c r="K49" s="3108">
        <v>29000000</v>
      </c>
      <c r="L49" s="3183">
        <f t="shared" si="14"/>
        <v>2.8369185070311362E-3</v>
      </c>
      <c r="M49" s="3107">
        <f t="shared" ref="M49:M54" si="35">+I49-K49</f>
        <v>-29000000</v>
      </c>
      <c r="N49" s="3098">
        <f t="shared" si="34"/>
        <v>-1</v>
      </c>
      <c r="O49" s="144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  <c r="AP49" s="142"/>
      <c r="AQ49" s="142"/>
      <c r="AR49" s="142"/>
      <c r="AS49" s="142"/>
      <c r="AT49" s="142"/>
      <c r="AU49" s="142"/>
      <c r="AV49" s="142"/>
      <c r="AW49" s="142"/>
      <c r="AX49" s="142"/>
      <c r="AY49" s="142"/>
      <c r="AZ49" s="142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2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2"/>
      <c r="CG49" s="142"/>
      <c r="CH49" s="142"/>
      <c r="CI49" s="142"/>
      <c r="CJ49" s="142"/>
      <c r="CK49" s="142"/>
      <c r="CL49" s="142"/>
      <c r="CM49" s="142"/>
      <c r="CN49" s="142"/>
      <c r="CO49" s="142"/>
      <c r="CP49" s="142"/>
      <c r="CQ49" s="142"/>
      <c r="CR49" s="142"/>
      <c r="CS49" s="142"/>
      <c r="CT49" s="142"/>
      <c r="CU49" s="142"/>
      <c r="CV49" s="142"/>
      <c r="CW49" s="142"/>
      <c r="CX49" s="142"/>
      <c r="CY49" s="142"/>
      <c r="CZ49" s="142"/>
      <c r="DA49" s="142"/>
      <c r="DB49" s="142"/>
      <c r="DC49" s="142"/>
      <c r="DD49" s="142"/>
      <c r="DE49" s="142"/>
      <c r="DF49" s="142"/>
      <c r="DG49" s="142"/>
      <c r="DH49" s="142"/>
      <c r="DI49" s="142"/>
      <c r="DJ49" s="142"/>
      <c r="DK49" s="142"/>
      <c r="DL49" s="142"/>
      <c r="DM49" s="142"/>
      <c r="DN49" s="142"/>
      <c r="DO49" s="142"/>
      <c r="DP49" s="142"/>
      <c r="DQ49" s="142"/>
      <c r="DR49" s="142"/>
      <c r="DS49" s="142"/>
      <c r="DT49" s="142"/>
      <c r="DU49" s="142"/>
      <c r="DV49" s="142"/>
      <c r="DW49" s="142"/>
      <c r="DX49" s="142"/>
      <c r="DY49" s="142"/>
      <c r="DZ49" s="142"/>
      <c r="EA49" s="142"/>
      <c r="EB49" s="142"/>
      <c r="EC49" s="142"/>
      <c r="ED49" s="142"/>
      <c r="EE49" s="142"/>
      <c r="EF49" s="142"/>
      <c r="EG49" s="142"/>
      <c r="EH49" s="142"/>
      <c r="EI49" s="142"/>
      <c r="EJ49" s="142"/>
      <c r="EK49" s="142"/>
      <c r="EL49" s="142"/>
      <c r="EM49" s="142"/>
      <c r="EN49" s="142"/>
      <c r="EO49" s="142"/>
      <c r="EP49" s="142"/>
      <c r="EQ49" s="142"/>
      <c r="ER49" s="142"/>
      <c r="ES49" s="142"/>
      <c r="ET49" s="142"/>
      <c r="EU49" s="142"/>
      <c r="EV49" s="142"/>
      <c r="EW49" s="142"/>
    </row>
    <row r="50" spans="1:153" s="143" customFormat="1" ht="27" customHeight="1">
      <c r="A50" s="3180" t="s">
        <v>499</v>
      </c>
      <c r="B50" s="3108">
        <v>14000</v>
      </c>
      <c r="C50" s="3096">
        <f t="shared" si="25"/>
        <v>1.6070107911922493E-6</v>
      </c>
      <c r="D50" s="3108">
        <v>14000</v>
      </c>
      <c r="E50" s="3096">
        <f t="shared" si="13"/>
        <v>1.3695468922584308E-6</v>
      </c>
      <c r="F50" s="3107">
        <f t="shared" si="29"/>
        <v>0</v>
      </c>
      <c r="G50" s="3098">
        <f t="shared" si="20"/>
        <v>0</v>
      </c>
      <c r="H50" s="3180" t="s">
        <v>2064</v>
      </c>
      <c r="I50" s="3108">
        <v>0</v>
      </c>
      <c r="J50" s="3183">
        <f t="shared" si="33"/>
        <v>0</v>
      </c>
      <c r="K50" s="3108">
        <v>286300000</v>
      </c>
      <c r="L50" s="3183">
        <f>K50/$K$6</f>
        <v>2.8007233398724633E-2</v>
      </c>
      <c r="M50" s="3107">
        <f t="shared" si="35"/>
        <v>-286300000</v>
      </c>
      <c r="N50" s="3098">
        <f t="shared" si="34"/>
        <v>-1</v>
      </c>
      <c r="O50" s="144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  <c r="BC50" s="142"/>
      <c r="BD50" s="142"/>
      <c r="BE50" s="142"/>
      <c r="BF50" s="142"/>
      <c r="BG50" s="142"/>
      <c r="BH50" s="142"/>
      <c r="BI50" s="142"/>
      <c r="BJ50" s="142"/>
      <c r="BK50" s="142"/>
      <c r="BL50" s="142"/>
      <c r="BM50" s="142"/>
      <c r="BN50" s="142"/>
      <c r="BO50" s="142"/>
      <c r="BP50" s="142"/>
      <c r="BQ50" s="142"/>
      <c r="BR50" s="142"/>
      <c r="BS50" s="142"/>
      <c r="BT50" s="142"/>
      <c r="BU50" s="142"/>
      <c r="BV50" s="142"/>
      <c r="BW50" s="142"/>
      <c r="BX50" s="142"/>
      <c r="BY50" s="142"/>
      <c r="BZ50" s="142"/>
      <c r="CA50" s="142"/>
      <c r="CB50" s="142"/>
      <c r="CC50" s="142"/>
      <c r="CD50" s="142"/>
      <c r="CE50" s="142"/>
      <c r="CF50" s="142"/>
      <c r="CG50" s="142"/>
      <c r="CH50" s="142"/>
      <c r="CI50" s="142"/>
      <c r="CJ50" s="142"/>
      <c r="CK50" s="142"/>
      <c r="CL50" s="142"/>
      <c r="CM50" s="142"/>
      <c r="CN50" s="142"/>
      <c r="CO50" s="142"/>
      <c r="CP50" s="142"/>
      <c r="CQ50" s="142"/>
      <c r="CR50" s="142"/>
      <c r="CS50" s="142"/>
      <c r="CT50" s="142"/>
      <c r="CU50" s="142"/>
      <c r="CV50" s="142"/>
      <c r="CW50" s="142"/>
      <c r="CX50" s="142"/>
      <c r="CY50" s="142"/>
      <c r="CZ50" s="142"/>
      <c r="DA50" s="142"/>
      <c r="DB50" s="142"/>
      <c r="DC50" s="142"/>
      <c r="DD50" s="142"/>
      <c r="DE50" s="142"/>
      <c r="DF50" s="142"/>
      <c r="DG50" s="142"/>
      <c r="DH50" s="142"/>
      <c r="DI50" s="142"/>
      <c r="DJ50" s="142"/>
      <c r="DK50" s="142"/>
      <c r="DL50" s="142"/>
      <c r="DM50" s="142"/>
      <c r="DN50" s="142"/>
      <c r="DO50" s="142"/>
      <c r="DP50" s="142"/>
      <c r="DQ50" s="142"/>
      <c r="DR50" s="142"/>
      <c r="DS50" s="142"/>
      <c r="DT50" s="142"/>
      <c r="DU50" s="142"/>
      <c r="DV50" s="142"/>
      <c r="DW50" s="142"/>
      <c r="DX50" s="142"/>
      <c r="DY50" s="142"/>
      <c r="DZ50" s="142"/>
      <c r="EA50" s="142"/>
      <c r="EB50" s="142"/>
      <c r="EC50" s="142"/>
      <c r="ED50" s="142"/>
      <c r="EE50" s="142"/>
      <c r="EF50" s="142"/>
      <c r="EG50" s="142"/>
      <c r="EH50" s="142"/>
      <c r="EI50" s="142"/>
      <c r="EJ50" s="142"/>
      <c r="EK50" s="142"/>
      <c r="EL50" s="142"/>
      <c r="EM50" s="142"/>
      <c r="EN50" s="142"/>
      <c r="EO50" s="142"/>
      <c r="EP50" s="142"/>
      <c r="EQ50" s="142"/>
      <c r="ER50" s="142"/>
      <c r="ES50" s="142"/>
      <c r="ET50" s="142"/>
      <c r="EU50" s="142"/>
      <c r="EV50" s="142"/>
      <c r="EW50" s="142"/>
    </row>
    <row r="51" spans="1:153" s="143" customFormat="1" ht="27" customHeight="1">
      <c r="A51" s="3541" t="s">
        <v>531</v>
      </c>
      <c r="B51" s="3121">
        <v>10000</v>
      </c>
      <c r="C51" s="3122">
        <f t="shared" si="25"/>
        <v>1.1478648508516067E-6</v>
      </c>
      <c r="D51" s="3121">
        <v>10000</v>
      </c>
      <c r="E51" s="3122">
        <f t="shared" si="13"/>
        <v>9.7824778018459337E-7</v>
      </c>
      <c r="F51" s="3123">
        <f t="shared" si="29"/>
        <v>0</v>
      </c>
      <c r="G51" s="3098">
        <f t="shared" si="20"/>
        <v>0</v>
      </c>
      <c r="H51" s="3180" t="s">
        <v>2061</v>
      </c>
      <c r="I51" s="3108">
        <v>0</v>
      </c>
      <c r="J51" s="3183">
        <f t="shared" si="33"/>
        <v>0</v>
      </c>
      <c r="K51" s="3108">
        <v>229944000</v>
      </c>
      <c r="L51" s="3183">
        <f t="shared" si="14"/>
        <v>2.2494220316578193E-2</v>
      </c>
      <c r="M51" s="3107">
        <f t="shared" si="35"/>
        <v>-229944000</v>
      </c>
      <c r="N51" s="3098">
        <f t="shared" si="34"/>
        <v>-1</v>
      </c>
      <c r="O51" s="144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  <c r="AT51" s="142"/>
      <c r="AU51" s="142"/>
      <c r="AV51" s="142"/>
      <c r="AW51" s="142"/>
      <c r="AX51" s="142"/>
      <c r="AY51" s="142"/>
      <c r="AZ51" s="142"/>
      <c r="BA51" s="142"/>
      <c r="BB51" s="142"/>
      <c r="BC51" s="142"/>
      <c r="BD51" s="142"/>
      <c r="BE51" s="142"/>
      <c r="BF51" s="142"/>
      <c r="BG51" s="142"/>
      <c r="BH51" s="142"/>
      <c r="BI51" s="142"/>
      <c r="BJ51" s="142"/>
      <c r="BK51" s="142"/>
      <c r="BL51" s="142"/>
      <c r="BM51" s="142"/>
      <c r="BN51" s="142"/>
      <c r="BO51" s="142"/>
      <c r="BP51" s="142"/>
      <c r="BQ51" s="142"/>
      <c r="BR51" s="142"/>
      <c r="BS51" s="142"/>
      <c r="BT51" s="142"/>
      <c r="BU51" s="142"/>
      <c r="BV51" s="142"/>
      <c r="BW51" s="142"/>
      <c r="BX51" s="142"/>
      <c r="BY51" s="142"/>
      <c r="BZ51" s="142"/>
      <c r="CA51" s="142"/>
      <c r="CB51" s="142"/>
      <c r="CC51" s="142"/>
      <c r="CD51" s="142"/>
      <c r="CE51" s="142"/>
      <c r="CF51" s="142"/>
      <c r="CG51" s="142"/>
      <c r="CH51" s="142"/>
      <c r="CI51" s="142"/>
      <c r="CJ51" s="142"/>
      <c r="CK51" s="142"/>
      <c r="CL51" s="142"/>
      <c r="CM51" s="142"/>
      <c r="CN51" s="142"/>
      <c r="CO51" s="142"/>
      <c r="CP51" s="142"/>
      <c r="CQ51" s="142"/>
      <c r="CR51" s="142"/>
      <c r="CS51" s="142"/>
      <c r="CT51" s="142"/>
      <c r="CU51" s="142"/>
      <c r="CV51" s="142"/>
      <c r="CW51" s="142"/>
      <c r="CX51" s="142"/>
      <c r="CY51" s="142"/>
      <c r="CZ51" s="142"/>
      <c r="DA51" s="142"/>
      <c r="DB51" s="142"/>
      <c r="DC51" s="142"/>
      <c r="DD51" s="142"/>
      <c r="DE51" s="142"/>
      <c r="DF51" s="142"/>
      <c r="DG51" s="142"/>
      <c r="DH51" s="142"/>
      <c r="DI51" s="142"/>
      <c r="DJ51" s="142"/>
      <c r="DK51" s="142"/>
      <c r="DL51" s="142"/>
      <c r="DM51" s="142"/>
      <c r="DN51" s="142"/>
      <c r="DO51" s="142"/>
      <c r="DP51" s="142"/>
      <c r="DQ51" s="142"/>
      <c r="DR51" s="142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</row>
    <row r="52" spans="1:153" s="143" customFormat="1" ht="27" customHeight="1">
      <c r="A52" s="3207" t="s">
        <v>1892</v>
      </c>
      <c r="B52" s="290">
        <f>SUM(B53:B53)</f>
        <v>50000000</v>
      </c>
      <c r="C52" s="291">
        <f t="shared" si="25"/>
        <v>5.7393242542580335E-3</v>
      </c>
      <c r="D52" s="290">
        <f>SUM(D53:D53)</f>
        <v>50000000</v>
      </c>
      <c r="E52" s="292">
        <f t="shared" si="13"/>
        <v>4.8912389009229673E-3</v>
      </c>
      <c r="F52" s="293">
        <f>SUM(F53:F53)</f>
        <v>0</v>
      </c>
      <c r="G52" s="288">
        <f>+F52/D52</f>
        <v>0</v>
      </c>
      <c r="H52" s="3180" t="s">
        <v>312</v>
      </c>
      <c r="I52" s="3108">
        <v>0</v>
      </c>
      <c r="J52" s="3183">
        <f t="shared" si="33"/>
        <v>0</v>
      </c>
      <c r="K52" s="3108">
        <v>2000000</v>
      </c>
      <c r="L52" s="3183">
        <f t="shared" si="14"/>
        <v>1.9564955220904387E-4</v>
      </c>
      <c r="M52" s="3107">
        <f t="shared" si="35"/>
        <v>-2000000</v>
      </c>
      <c r="N52" s="3098">
        <f t="shared" si="34"/>
        <v>-1</v>
      </c>
      <c r="O52" s="144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42"/>
      <c r="DX52" s="142"/>
      <c r="DY52" s="142"/>
      <c r="DZ52" s="142"/>
      <c r="EA52" s="142"/>
      <c r="EB52" s="142"/>
      <c r="EC52" s="142"/>
      <c r="ED52" s="142"/>
      <c r="EE52" s="142"/>
      <c r="EF52" s="142"/>
      <c r="EG52" s="142"/>
      <c r="EH52" s="142"/>
      <c r="EI52" s="142"/>
      <c r="EJ52" s="142"/>
      <c r="EK52" s="142"/>
      <c r="EL52" s="142"/>
      <c r="EM52" s="142"/>
      <c r="EN52" s="142"/>
      <c r="EO52" s="142"/>
      <c r="EP52" s="142"/>
      <c r="EQ52" s="142"/>
      <c r="ER52" s="142"/>
      <c r="ES52" s="142"/>
      <c r="ET52" s="142"/>
      <c r="EU52" s="142"/>
      <c r="EV52" s="142"/>
      <c r="EW52" s="142"/>
    </row>
    <row r="53" spans="1:153" s="143" customFormat="1" ht="27" customHeight="1">
      <c r="A53" s="3208" t="s">
        <v>585</v>
      </c>
      <c r="B53" s="3125">
        <v>50000000</v>
      </c>
      <c r="C53" s="3126">
        <f t="shared" si="25"/>
        <v>5.7393242542580335E-3</v>
      </c>
      <c r="D53" s="3125">
        <v>50000000</v>
      </c>
      <c r="E53" s="3126">
        <f t="shared" si="13"/>
        <v>4.8912389009229673E-3</v>
      </c>
      <c r="F53" s="3127">
        <f>+B53-D53</f>
        <v>0</v>
      </c>
      <c r="G53" s="3128">
        <f t="shared" ref="G53" si="36">+F53/D53</f>
        <v>0</v>
      </c>
      <c r="H53" s="3180" t="s">
        <v>2068</v>
      </c>
      <c r="I53" s="3108">
        <v>0</v>
      </c>
      <c r="J53" s="3183">
        <f t="shared" si="33"/>
        <v>0</v>
      </c>
      <c r="K53" s="3108">
        <v>235394000</v>
      </c>
      <c r="L53" s="3183">
        <f t="shared" si="14"/>
        <v>2.3027365346347837E-2</v>
      </c>
      <c r="M53" s="3107">
        <f t="shared" si="35"/>
        <v>-235394000</v>
      </c>
      <c r="N53" s="3098">
        <f t="shared" si="34"/>
        <v>-1</v>
      </c>
      <c r="O53" s="144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  <c r="AZ53" s="142"/>
      <c r="BA53" s="142"/>
      <c r="BB53" s="142"/>
      <c r="BC53" s="142"/>
      <c r="BD53" s="142"/>
      <c r="BE53" s="142"/>
      <c r="BF53" s="142"/>
      <c r="BG53" s="142"/>
      <c r="BH53" s="142"/>
      <c r="BI53" s="142"/>
      <c r="BJ53" s="142"/>
      <c r="BK53" s="142"/>
      <c r="BL53" s="142"/>
      <c r="BM53" s="142"/>
      <c r="BN53" s="142"/>
      <c r="BO53" s="142"/>
      <c r="BP53" s="142"/>
      <c r="BQ53" s="142"/>
      <c r="BR53" s="142"/>
      <c r="BS53" s="142"/>
      <c r="BT53" s="142"/>
      <c r="BU53" s="142"/>
      <c r="BV53" s="142"/>
      <c r="BW53" s="142"/>
      <c r="BX53" s="142"/>
      <c r="BY53" s="142"/>
      <c r="BZ53" s="142"/>
      <c r="CA53" s="142"/>
      <c r="CB53" s="142"/>
      <c r="CC53" s="142"/>
      <c r="CD53" s="142"/>
      <c r="CE53" s="142"/>
      <c r="CF53" s="142"/>
      <c r="CG53" s="142"/>
      <c r="CH53" s="142"/>
      <c r="CI53" s="142"/>
      <c r="CJ53" s="142"/>
      <c r="CK53" s="142"/>
      <c r="CL53" s="142"/>
      <c r="CM53" s="142"/>
      <c r="CN53" s="142"/>
      <c r="CO53" s="142"/>
      <c r="CP53" s="142"/>
      <c r="CQ53" s="142"/>
      <c r="CR53" s="142"/>
      <c r="CS53" s="142"/>
      <c r="CT53" s="142"/>
      <c r="CU53" s="142"/>
      <c r="CV53" s="142"/>
      <c r="CW53" s="142"/>
      <c r="CX53" s="142"/>
      <c r="CY53" s="142"/>
      <c r="CZ53" s="142"/>
      <c r="DA53" s="142"/>
      <c r="DB53" s="142"/>
      <c r="DC53" s="142"/>
      <c r="DD53" s="142"/>
      <c r="DE53" s="142"/>
      <c r="DF53" s="142"/>
      <c r="DG53" s="142"/>
      <c r="DH53" s="142"/>
      <c r="DI53" s="142"/>
      <c r="DJ53" s="142"/>
      <c r="DK53" s="142"/>
      <c r="DL53" s="142"/>
      <c r="DM53" s="142"/>
      <c r="DN53" s="142"/>
      <c r="DO53" s="142"/>
      <c r="DP53" s="142"/>
      <c r="DQ53" s="142"/>
      <c r="DR53" s="142"/>
      <c r="DS53" s="142"/>
      <c r="DT53" s="142"/>
      <c r="DU53" s="142"/>
      <c r="DV53" s="142"/>
      <c r="DW53" s="142"/>
      <c r="DX53" s="142"/>
      <c r="DY53" s="142"/>
      <c r="DZ53" s="142"/>
      <c r="EA53" s="142"/>
      <c r="EB53" s="142"/>
      <c r="EC53" s="142"/>
      <c r="ED53" s="142"/>
      <c r="EE53" s="142"/>
      <c r="EF53" s="142"/>
      <c r="EG53" s="142"/>
      <c r="EH53" s="142"/>
      <c r="EI53" s="142"/>
      <c r="EJ53" s="142"/>
      <c r="EK53" s="142"/>
      <c r="EL53" s="142"/>
      <c r="EM53" s="142"/>
      <c r="EN53" s="142"/>
      <c r="EO53" s="142"/>
      <c r="EP53" s="142"/>
      <c r="EQ53" s="142"/>
      <c r="ER53" s="142"/>
      <c r="ES53" s="142"/>
      <c r="ET53" s="142"/>
      <c r="EU53" s="142"/>
      <c r="EV53" s="142"/>
      <c r="EW53" s="142"/>
    </row>
    <row r="54" spans="1:153" s="143" customFormat="1" ht="27" customHeight="1">
      <c r="A54" s="3207" t="s">
        <v>2058</v>
      </c>
      <c r="B54" s="290">
        <f>SUM(B55:B55)</f>
        <v>400000000</v>
      </c>
      <c r="C54" s="291">
        <f t="shared" si="25"/>
        <v>4.5914594034064268E-2</v>
      </c>
      <c r="D54" s="290">
        <f>SUM(D55:D55)</f>
        <v>543830000</v>
      </c>
      <c r="E54" s="292">
        <f t="shared" si="13"/>
        <v>5.3200049029778741E-2</v>
      </c>
      <c r="F54" s="293">
        <f>SUM(F55:F55)</f>
        <v>-143830000</v>
      </c>
      <c r="G54" s="288">
        <f>+F54/D54</f>
        <v>-0.26447603111266388</v>
      </c>
      <c r="H54" s="3193" t="s">
        <v>2062</v>
      </c>
      <c r="I54" s="3153">
        <v>0</v>
      </c>
      <c r="J54" s="3189">
        <f t="shared" si="33"/>
        <v>0</v>
      </c>
      <c r="K54" s="3153">
        <v>768503000</v>
      </c>
      <c r="L54" s="3189">
        <f t="shared" si="14"/>
        <v>7.5178633910653422E-2</v>
      </c>
      <c r="M54" s="3154">
        <f t="shared" si="35"/>
        <v>-768503000</v>
      </c>
      <c r="N54" s="3114">
        <f t="shared" si="34"/>
        <v>-1</v>
      </c>
      <c r="O54" s="144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42"/>
      <c r="DX54" s="142"/>
      <c r="DY54" s="142"/>
      <c r="DZ54" s="142"/>
      <c r="EA54" s="142"/>
      <c r="EB54" s="142"/>
      <c r="EC54" s="142"/>
      <c r="ED54" s="142"/>
      <c r="EE54" s="142"/>
      <c r="EF54" s="142"/>
      <c r="EG54" s="142"/>
      <c r="EH54" s="142"/>
      <c r="EI54" s="142"/>
      <c r="EJ54" s="142"/>
      <c r="EK54" s="142"/>
      <c r="EL54" s="142"/>
      <c r="EM54" s="142"/>
      <c r="EN54" s="142"/>
      <c r="EO54" s="142"/>
      <c r="EP54" s="142"/>
      <c r="EQ54" s="142"/>
      <c r="ER54" s="142"/>
      <c r="ES54" s="142"/>
      <c r="ET54" s="142"/>
      <c r="EU54" s="142"/>
      <c r="EV54" s="142"/>
      <c r="EW54" s="142"/>
    </row>
    <row r="55" spans="1:153" s="143" customFormat="1" ht="27" customHeight="1">
      <c r="A55" s="3208" t="s">
        <v>2059</v>
      </c>
      <c r="B55" s="3125">
        <f>세입예산총괄표3!B56</f>
        <v>400000000</v>
      </c>
      <c r="C55" s="3126">
        <f t="shared" si="25"/>
        <v>4.5914594034064268E-2</v>
      </c>
      <c r="D55" s="3125">
        <f>세입예산총괄표3!D56</f>
        <v>543830000</v>
      </c>
      <c r="E55" s="3126">
        <f t="shared" si="13"/>
        <v>5.3200049029778741E-2</v>
      </c>
      <c r="F55" s="3127">
        <f>+B55-D55</f>
        <v>-143830000</v>
      </c>
      <c r="G55" s="3128">
        <f t="shared" ref="G55" si="37">+F55/D55</f>
        <v>-0.26447603111266388</v>
      </c>
      <c r="H55" s="3186" t="s">
        <v>2070</v>
      </c>
      <c r="I55" s="284">
        <f>SUM(I56:I56)</f>
        <v>0</v>
      </c>
      <c r="J55" s="367">
        <f>I55/$I$6</f>
        <v>0</v>
      </c>
      <c r="K55" s="284">
        <f>SUM(K56:K56)</f>
        <v>44000000</v>
      </c>
      <c r="L55" s="367">
        <f>K55/$K$6</f>
        <v>4.3042901485989653E-3</v>
      </c>
      <c r="M55" s="287">
        <f>SUM(M56:M56)</f>
        <v>-44000000</v>
      </c>
      <c r="N55" s="288">
        <f t="shared" si="34"/>
        <v>-1</v>
      </c>
      <c r="O55" s="144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  <c r="AT55" s="142"/>
      <c r="AU55" s="142"/>
      <c r="AV55" s="142"/>
      <c r="AW55" s="142"/>
      <c r="AX55" s="142"/>
      <c r="AY55" s="142"/>
      <c r="AZ55" s="142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2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2"/>
      <c r="CG55" s="142"/>
      <c r="CH55" s="142"/>
      <c r="CI55" s="142"/>
      <c r="CJ55" s="142"/>
      <c r="CK55" s="142"/>
      <c r="CL55" s="142"/>
      <c r="CM55" s="142"/>
      <c r="CN55" s="142"/>
      <c r="CO55" s="142"/>
      <c r="CP55" s="142"/>
      <c r="CQ55" s="142"/>
      <c r="CR55" s="142"/>
      <c r="CS55" s="142"/>
      <c r="CT55" s="142"/>
      <c r="CU55" s="142"/>
      <c r="CV55" s="142"/>
      <c r="CW55" s="142"/>
      <c r="CX55" s="142"/>
      <c r="CY55" s="142"/>
      <c r="CZ55" s="142"/>
      <c r="DA55" s="142"/>
      <c r="DB55" s="142"/>
      <c r="DC55" s="142"/>
      <c r="DD55" s="142"/>
      <c r="DE55" s="142"/>
      <c r="DF55" s="142"/>
      <c r="DG55" s="142"/>
      <c r="DH55" s="142"/>
      <c r="DI55" s="142"/>
      <c r="DJ55" s="142"/>
      <c r="DK55" s="142"/>
      <c r="DL55" s="142"/>
      <c r="DM55" s="142"/>
      <c r="DN55" s="142"/>
      <c r="DO55" s="142"/>
      <c r="DP55" s="142"/>
      <c r="DQ55" s="142"/>
      <c r="DR55" s="142"/>
      <c r="DS55" s="142"/>
      <c r="DT55" s="142"/>
      <c r="DU55" s="142"/>
      <c r="DV55" s="142"/>
      <c r="DW55" s="142"/>
      <c r="DX55" s="142"/>
      <c r="DY55" s="142"/>
      <c r="DZ55" s="142"/>
      <c r="EA55" s="142"/>
      <c r="EB55" s="142"/>
      <c r="EC55" s="142"/>
      <c r="ED55" s="142"/>
      <c r="EE55" s="142"/>
      <c r="EF55" s="142"/>
      <c r="EG55" s="142"/>
      <c r="EH55" s="142"/>
      <c r="EI55" s="142"/>
      <c r="EJ55" s="142"/>
      <c r="EK55" s="142"/>
      <c r="EL55" s="142"/>
      <c r="EM55" s="142"/>
      <c r="EN55" s="142"/>
      <c r="EO55" s="142"/>
      <c r="EP55" s="142"/>
      <c r="EQ55" s="142"/>
      <c r="ER55" s="142"/>
      <c r="ES55" s="142"/>
      <c r="ET55" s="142"/>
      <c r="EU55" s="142"/>
      <c r="EV55" s="142"/>
      <c r="EW55" s="142"/>
    </row>
    <row r="56" spans="1:153" s="143" customFormat="1" ht="27" customHeight="1">
      <c r="A56" s="3542"/>
      <c r="B56" s="3543"/>
      <c r="C56" s="3544"/>
      <c r="D56" s="3543"/>
      <c r="E56" s="3544"/>
      <c r="F56" s="3545"/>
      <c r="G56" s="3546"/>
      <c r="H56" s="3208" t="s">
        <v>2064</v>
      </c>
      <c r="I56" s="3125">
        <v>0</v>
      </c>
      <c r="J56" s="3544">
        <f t="shared" si="33"/>
        <v>0</v>
      </c>
      <c r="K56" s="3125">
        <v>44000000</v>
      </c>
      <c r="L56" s="3544">
        <f t="shared" si="14"/>
        <v>4.3042901485989653E-3</v>
      </c>
      <c r="M56" s="3127">
        <f t="shared" ref="M56" si="38">+I56-K56</f>
        <v>-44000000</v>
      </c>
      <c r="N56" s="3128">
        <f t="shared" si="34"/>
        <v>-1</v>
      </c>
      <c r="O56" s="144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142"/>
      <c r="BN56" s="142"/>
      <c r="BO56" s="142"/>
      <c r="BP56" s="142"/>
      <c r="BQ56" s="142"/>
      <c r="BR56" s="142"/>
      <c r="BS56" s="142"/>
      <c r="BT56" s="142"/>
      <c r="BU56" s="142"/>
      <c r="BV56" s="142"/>
      <c r="BW56" s="142"/>
      <c r="BX56" s="142"/>
      <c r="BY56" s="142"/>
      <c r="BZ56" s="142"/>
      <c r="CA56" s="142"/>
      <c r="CB56" s="142"/>
      <c r="CC56" s="142"/>
      <c r="CD56" s="142"/>
      <c r="CE56" s="142"/>
      <c r="CF56" s="142"/>
      <c r="CG56" s="142"/>
      <c r="CH56" s="142"/>
      <c r="CI56" s="142"/>
      <c r="CJ56" s="142"/>
      <c r="CK56" s="142"/>
      <c r="CL56" s="142"/>
      <c r="CM56" s="142"/>
      <c r="CN56" s="142"/>
      <c r="CO56" s="142"/>
      <c r="CP56" s="142"/>
      <c r="CQ56" s="142"/>
      <c r="CR56" s="142"/>
      <c r="CS56" s="142"/>
      <c r="CT56" s="142"/>
      <c r="CU56" s="142"/>
      <c r="CV56" s="142"/>
      <c r="CW56" s="142"/>
      <c r="CX56" s="142"/>
      <c r="CY56" s="142"/>
      <c r="CZ56" s="142"/>
      <c r="DA56" s="142"/>
      <c r="DB56" s="142"/>
      <c r="DC56" s="142"/>
      <c r="DD56" s="142"/>
      <c r="DE56" s="142"/>
      <c r="DF56" s="142"/>
      <c r="DG56" s="142"/>
      <c r="DH56" s="142"/>
      <c r="DI56" s="142"/>
      <c r="DJ56" s="142"/>
      <c r="DK56" s="142"/>
      <c r="DL56" s="142"/>
      <c r="DM56" s="142"/>
      <c r="DN56" s="142"/>
      <c r="DO56" s="142"/>
      <c r="DP56" s="142"/>
      <c r="DQ56" s="142"/>
      <c r="DR56" s="142"/>
      <c r="DS56" s="142"/>
      <c r="DT56" s="142"/>
      <c r="DU56" s="142"/>
      <c r="DV56" s="142"/>
      <c r="DW56" s="142"/>
      <c r="DX56" s="142"/>
      <c r="DY56" s="142"/>
      <c r="DZ56" s="142"/>
      <c r="EA56" s="142"/>
      <c r="EB56" s="142"/>
      <c r="EC56" s="142"/>
      <c r="ED56" s="142"/>
      <c r="EE56" s="142"/>
      <c r="EF56" s="142"/>
      <c r="EG56" s="142"/>
      <c r="EH56" s="142"/>
      <c r="EI56" s="142"/>
      <c r="EJ56" s="142"/>
      <c r="EK56" s="142"/>
      <c r="EL56" s="142"/>
      <c r="EM56" s="142"/>
      <c r="EN56" s="142"/>
      <c r="EO56" s="142"/>
      <c r="EP56" s="142"/>
      <c r="EQ56" s="142"/>
      <c r="ER56" s="142"/>
      <c r="ES56" s="142"/>
      <c r="ET56" s="142"/>
      <c r="EU56" s="142"/>
      <c r="EV56" s="142"/>
      <c r="EW56" s="142"/>
    </row>
    <row r="57" spans="1:153" s="143" customFormat="1" ht="27" customHeight="1">
      <c r="A57" s="3181"/>
      <c r="B57" s="3182"/>
      <c r="C57" s="3183"/>
      <c r="D57" s="3182"/>
      <c r="E57" s="3183"/>
      <c r="F57" s="3184"/>
      <c r="G57" s="3213"/>
      <c r="H57" s="3194" t="s">
        <v>2071</v>
      </c>
      <c r="I57" s="3195">
        <f>SUM(I58:I58)</f>
        <v>0</v>
      </c>
      <c r="J57" s="3236">
        <f>I57/$I$6</f>
        <v>0</v>
      </c>
      <c r="K57" s="3195">
        <f>SUM(K58:K58)</f>
        <v>6000000</v>
      </c>
      <c r="L57" s="3236">
        <f>K57/$K$6</f>
        <v>5.8694865662713158E-4</v>
      </c>
      <c r="M57" s="3198">
        <f>SUM(M58:M58)</f>
        <v>-6000000</v>
      </c>
      <c r="N57" s="3199">
        <f t="shared" si="34"/>
        <v>-1</v>
      </c>
      <c r="O57" s="144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  <c r="DF57" s="142"/>
      <c r="DG57" s="142"/>
      <c r="DH57" s="142"/>
      <c r="DI57" s="142"/>
      <c r="DJ57" s="142"/>
      <c r="DK57" s="142"/>
      <c r="DL57" s="142"/>
      <c r="DM57" s="142"/>
      <c r="DN57" s="142"/>
      <c r="DO57" s="142"/>
      <c r="DP57" s="142"/>
      <c r="DQ57" s="142"/>
      <c r="DR57" s="142"/>
      <c r="DS57" s="142"/>
      <c r="DT57" s="142"/>
      <c r="DU57" s="142"/>
      <c r="DV57" s="142"/>
      <c r="DW57" s="142"/>
      <c r="DX57" s="142"/>
      <c r="DY57" s="142"/>
      <c r="DZ57" s="142"/>
      <c r="EA57" s="142"/>
      <c r="EB57" s="142"/>
      <c r="EC57" s="142"/>
      <c r="ED57" s="142"/>
      <c r="EE57" s="142"/>
      <c r="EF57" s="142"/>
      <c r="EG57" s="142"/>
      <c r="EH57" s="142"/>
      <c r="EI57" s="142"/>
      <c r="EJ57" s="142"/>
      <c r="EK57" s="142"/>
      <c r="EL57" s="142"/>
      <c r="EM57" s="142"/>
      <c r="EN57" s="142"/>
      <c r="EO57" s="142"/>
      <c r="EP57" s="142"/>
      <c r="EQ57" s="142"/>
      <c r="ER57" s="142"/>
      <c r="ES57" s="142"/>
      <c r="ET57" s="142"/>
      <c r="EU57" s="142"/>
      <c r="EV57" s="142"/>
      <c r="EW57" s="142"/>
    </row>
    <row r="58" spans="1:153" s="143" customFormat="1" ht="27" customHeight="1">
      <c r="A58" s="3200"/>
      <c r="B58" s="3201"/>
      <c r="C58" s="3202"/>
      <c r="D58" s="3201"/>
      <c r="E58" s="3202"/>
      <c r="F58" s="3203"/>
      <c r="G58" s="3209"/>
      <c r="H58" s="3210" t="s">
        <v>585</v>
      </c>
      <c r="I58" s="3211">
        <v>0</v>
      </c>
      <c r="J58" s="3202">
        <f t="shared" si="33"/>
        <v>0</v>
      </c>
      <c r="K58" s="3211">
        <v>6000000</v>
      </c>
      <c r="L58" s="3202">
        <f t="shared" si="14"/>
        <v>5.8694865662713158E-4</v>
      </c>
      <c r="M58" s="3212">
        <f t="shared" ref="M58" si="39">+I58-K58</f>
        <v>-6000000</v>
      </c>
      <c r="N58" s="3093">
        <f t="shared" si="34"/>
        <v>-1</v>
      </c>
      <c r="O58" s="144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142"/>
      <c r="BN58" s="142"/>
      <c r="BO58" s="142"/>
      <c r="BP58" s="142"/>
      <c r="BQ58" s="142"/>
      <c r="BR58" s="142"/>
      <c r="BS58" s="142"/>
      <c r="BT58" s="142"/>
      <c r="BU58" s="142"/>
      <c r="BV58" s="142"/>
      <c r="BW58" s="142"/>
      <c r="BX58" s="142"/>
      <c r="BY58" s="142"/>
      <c r="BZ58" s="142"/>
      <c r="CA58" s="142"/>
      <c r="CB58" s="142"/>
      <c r="CC58" s="142"/>
      <c r="CD58" s="142"/>
      <c r="CE58" s="142"/>
      <c r="CF58" s="142"/>
      <c r="CG58" s="142"/>
      <c r="CH58" s="142"/>
      <c r="CI58" s="142"/>
      <c r="CJ58" s="142"/>
      <c r="CK58" s="142"/>
      <c r="CL58" s="142"/>
      <c r="CM58" s="142"/>
      <c r="CN58" s="142"/>
      <c r="CO58" s="142"/>
      <c r="CP58" s="142"/>
      <c r="CQ58" s="142"/>
      <c r="CR58" s="142"/>
      <c r="CS58" s="142"/>
      <c r="CT58" s="142"/>
      <c r="CU58" s="142"/>
      <c r="CV58" s="142"/>
      <c r="CW58" s="142"/>
      <c r="CX58" s="142"/>
      <c r="CY58" s="142"/>
      <c r="CZ58" s="142"/>
      <c r="DA58" s="142"/>
      <c r="DB58" s="142"/>
      <c r="DC58" s="142"/>
      <c r="DD58" s="142"/>
      <c r="DE58" s="142"/>
      <c r="DF58" s="142"/>
      <c r="DG58" s="142"/>
      <c r="DH58" s="142"/>
      <c r="DI58" s="142"/>
      <c r="DJ58" s="142"/>
      <c r="DK58" s="142"/>
      <c r="DL58" s="142"/>
      <c r="DM58" s="142"/>
      <c r="DN58" s="142"/>
      <c r="DO58" s="142"/>
      <c r="DP58" s="142"/>
      <c r="DQ58" s="142"/>
      <c r="DR58" s="142"/>
      <c r="DS58" s="142"/>
      <c r="DT58" s="142"/>
      <c r="DU58" s="142"/>
      <c r="DV58" s="142"/>
      <c r="DW58" s="142"/>
      <c r="DX58" s="142"/>
      <c r="DY58" s="142"/>
      <c r="DZ58" s="142"/>
      <c r="EA58" s="142"/>
      <c r="EB58" s="142"/>
      <c r="EC58" s="142"/>
      <c r="ED58" s="142"/>
      <c r="EE58" s="142"/>
      <c r="EF58" s="142"/>
      <c r="EG58" s="142"/>
      <c r="EH58" s="142"/>
      <c r="EI58" s="142"/>
      <c r="EJ58" s="142"/>
      <c r="EK58" s="142"/>
      <c r="EL58" s="142"/>
      <c r="EM58" s="142"/>
      <c r="EN58" s="142"/>
      <c r="EO58" s="142"/>
      <c r="EP58" s="142"/>
      <c r="EQ58" s="142"/>
      <c r="ER58" s="142"/>
      <c r="ES58" s="142"/>
      <c r="ET58" s="142"/>
      <c r="EU58" s="142"/>
      <c r="EV58" s="142"/>
      <c r="EW58" s="142"/>
    </row>
    <row r="59" spans="1:153" s="143" customFormat="1" ht="27" customHeight="1">
      <c r="A59" s="3181"/>
      <c r="B59" s="3182"/>
      <c r="C59" s="3183"/>
      <c r="D59" s="3182"/>
      <c r="E59" s="3183"/>
      <c r="F59" s="3184"/>
      <c r="G59" s="3213"/>
      <c r="H59" s="3186" t="s">
        <v>697</v>
      </c>
      <c r="I59" s="284">
        <f>SUM(I60:I67)</f>
        <v>16900000</v>
      </c>
      <c r="J59" s="367">
        <f>I59/$I$6</f>
        <v>1.9398915979392153E-3</v>
      </c>
      <c r="K59" s="284">
        <f>SUM(K60:K67)</f>
        <v>378802000</v>
      </c>
      <c r="L59" s="367">
        <f>K59/$K$6</f>
        <v>3.7056220837945117E-2</v>
      </c>
      <c r="M59" s="287">
        <f>SUM(M60:M67)</f>
        <v>-361902000</v>
      </c>
      <c r="N59" s="288">
        <f t="shared" si="34"/>
        <v>-0.95538566322247509</v>
      </c>
      <c r="O59" s="144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2"/>
      <c r="CG59" s="142"/>
      <c r="CH59" s="142"/>
      <c r="CI59" s="142"/>
      <c r="CJ59" s="142"/>
      <c r="CK59" s="142"/>
      <c r="CL59" s="142"/>
      <c r="CM59" s="142"/>
      <c r="CN59" s="142"/>
      <c r="CO59" s="142"/>
      <c r="CP59" s="142"/>
      <c r="CQ59" s="142"/>
      <c r="CR59" s="142"/>
      <c r="CS59" s="142"/>
      <c r="CT59" s="142"/>
      <c r="CU59" s="142"/>
      <c r="CV59" s="142"/>
      <c r="CW59" s="142"/>
      <c r="CX59" s="142"/>
      <c r="CY59" s="142"/>
      <c r="CZ59" s="142"/>
      <c r="DA59" s="142"/>
      <c r="DB59" s="142"/>
      <c r="DC59" s="142"/>
      <c r="DD59" s="142"/>
      <c r="DE59" s="142"/>
      <c r="DF59" s="142"/>
      <c r="DG59" s="142"/>
      <c r="DH59" s="142"/>
      <c r="DI59" s="142"/>
      <c r="DJ59" s="142"/>
      <c r="DK59" s="142"/>
      <c r="DL59" s="142"/>
      <c r="DM59" s="142"/>
      <c r="DN59" s="142"/>
      <c r="DO59" s="142"/>
      <c r="DP59" s="142"/>
      <c r="DQ59" s="142"/>
      <c r="DR59" s="142"/>
      <c r="DS59" s="142"/>
      <c r="DT59" s="142"/>
      <c r="DU59" s="142"/>
      <c r="DV59" s="142"/>
      <c r="DW59" s="142"/>
      <c r="DX59" s="142"/>
      <c r="DY59" s="142"/>
      <c r="DZ59" s="142"/>
      <c r="EA59" s="142"/>
      <c r="EB59" s="142"/>
      <c r="EC59" s="142"/>
      <c r="ED59" s="142"/>
      <c r="EE59" s="142"/>
      <c r="EF59" s="142"/>
      <c r="EG59" s="142"/>
      <c r="EH59" s="142"/>
      <c r="EI59" s="142"/>
      <c r="EJ59" s="142"/>
      <c r="EK59" s="142"/>
      <c r="EL59" s="142"/>
      <c r="EM59" s="142"/>
      <c r="EN59" s="142"/>
      <c r="EO59" s="142"/>
      <c r="EP59" s="142"/>
      <c r="EQ59" s="142"/>
      <c r="ER59" s="142"/>
      <c r="ES59" s="142"/>
      <c r="ET59" s="142"/>
      <c r="EU59" s="142"/>
      <c r="EV59" s="142"/>
      <c r="EW59" s="142"/>
    </row>
    <row r="60" spans="1:153" s="143" customFormat="1" ht="27" customHeight="1">
      <c r="A60" s="3181"/>
      <c r="B60" s="3182"/>
      <c r="C60" s="3183"/>
      <c r="D60" s="3182"/>
      <c r="E60" s="3183"/>
      <c r="F60" s="3184"/>
      <c r="G60" s="3213"/>
      <c r="H60" s="3205" t="s">
        <v>572</v>
      </c>
      <c r="I60" s="3149">
        <f>세출예산총괄표4!B61</f>
        <v>6200000</v>
      </c>
      <c r="J60" s="3177">
        <f t="shared" si="33"/>
        <v>7.1167620752799615E-4</v>
      </c>
      <c r="K60" s="3149">
        <v>39022000</v>
      </c>
      <c r="L60" s="3177">
        <f t="shared" si="14"/>
        <v>3.8173184131506553E-3</v>
      </c>
      <c r="M60" s="3151">
        <f>+I60-K60</f>
        <v>-32822000</v>
      </c>
      <c r="N60" s="3152">
        <f t="shared" si="34"/>
        <v>-0.84111526831018402</v>
      </c>
      <c r="O60" s="144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  <c r="DF60" s="142"/>
      <c r="DG60" s="142"/>
      <c r="DH60" s="142"/>
      <c r="DI60" s="142"/>
      <c r="DJ60" s="142"/>
      <c r="DK60" s="142"/>
      <c r="DL60" s="142"/>
      <c r="DM60" s="142"/>
      <c r="DN60" s="142"/>
      <c r="DO60" s="142"/>
      <c r="DP60" s="142"/>
      <c r="DQ60" s="142"/>
      <c r="DR60" s="142"/>
      <c r="DS60" s="142"/>
      <c r="DT60" s="142"/>
      <c r="DU60" s="142"/>
      <c r="DV60" s="142"/>
      <c r="DW60" s="142"/>
      <c r="DX60" s="142"/>
      <c r="DY60" s="142"/>
      <c r="DZ60" s="142"/>
      <c r="EA60" s="142"/>
      <c r="EB60" s="142"/>
      <c r="EC60" s="142"/>
      <c r="ED60" s="142"/>
      <c r="EE60" s="142"/>
      <c r="EF60" s="142"/>
      <c r="EG60" s="142"/>
      <c r="EH60" s="142"/>
      <c r="EI60" s="142"/>
      <c r="EJ60" s="142"/>
      <c r="EK60" s="142"/>
      <c r="EL60" s="142"/>
      <c r="EM60" s="142"/>
      <c r="EN60" s="142"/>
      <c r="EO60" s="142"/>
      <c r="EP60" s="142"/>
      <c r="EQ60" s="142"/>
      <c r="ER60" s="142"/>
      <c r="ES60" s="142"/>
      <c r="ET60" s="142"/>
      <c r="EU60" s="142"/>
      <c r="EV60" s="142"/>
      <c r="EW60" s="142"/>
    </row>
    <row r="61" spans="1:153" s="143" customFormat="1" ht="27" customHeight="1">
      <c r="A61" s="3200"/>
      <c r="B61" s="3201"/>
      <c r="C61" s="3202"/>
      <c r="D61" s="3201"/>
      <c r="E61" s="3202"/>
      <c r="F61" s="3203"/>
      <c r="G61" s="3209"/>
      <c r="H61" s="3174" t="s">
        <v>573</v>
      </c>
      <c r="I61" s="3106">
        <f>세출예산총괄표4!B62</f>
        <v>2100000</v>
      </c>
      <c r="J61" s="3202">
        <f t="shared" si="33"/>
        <v>2.410516186788374E-4</v>
      </c>
      <c r="K61" s="3106">
        <v>3000000</v>
      </c>
      <c r="L61" s="3202">
        <f t="shared" si="14"/>
        <v>2.9347432831356579E-4</v>
      </c>
      <c r="M61" s="3118">
        <f>+I61-K61</f>
        <v>-900000</v>
      </c>
      <c r="N61" s="3093">
        <f t="shared" si="34"/>
        <v>-0.3</v>
      </c>
      <c r="O61" s="144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  <c r="DF61" s="142"/>
      <c r="DG61" s="142"/>
      <c r="DH61" s="142"/>
      <c r="DI61" s="142"/>
      <c r="DJ61" s="142"/>
      <c r="DK61" s="142"/>
      <c r="DL61" s="142"/>
      <c r="DM61" s="142"/>
      <c r="DN61" s="142"/>
      <c r="DO61" s="142"/>
      <c r="DP61" s="142"/>
      <c r="DQ61" s="142"/>
      <c r="DR61" s="142"/>
      <c r="DS61" s="142"/>
      <c r="DT61" s="142"/>
      <c r="DU61" s="142"/>
      <c r="DV61" s="142"/>
      <c r="DW61" s="142"/>
      <c r="DX61" s="142"/>
      <c r="DY61" s="142"/>
      <c r="DZ61" s="142"/>
      <c r="EA61" s="142"/>
      <c r="EB61" s="142"/>
      <c r="EC61" s="142"/>
      <c r="ED61" s="142"/>
      <c r="EE61" s="142"/>
      <c r="EF61" s="142"/>
      <c r="EG61" s="142"/>
      <c r="EH61" s="142"/>
      <c r="EI61" s="142"/>
      <c r="EJ61" s="142"/>
      <c r="EK61" s="142"/>
      <c r="EL61" s="142"/>
      <c r="EM61" s="142"/>
      <c r="EN61" s="142"/>
      <c r="EO61" s="142"/>
      <c r="EP61" s="142"/>
      <c r="EQ61" s="142"/>
      <c r="ER61" s="142"/>
      <c r="ES61" s="142"/>
      <c r="ET61" s="142"/>
      <c r="EU61" s="142"/>
      <c r="EV61" s="142"/>
      <c r="EW61" s="142"/>
    </row>
    <row r="62" spans="1:153" s="143" customFormat="1" ht="27" customHeight="1">
      <c r="A62" s="3181"/>
      <c r="B62" s="3182"/>
      <c r="C62" s="3183"/>
      <c r="D62" s="3182"/>
      <c r="E62" s="3183"/>
      <c r="F62" s="3184"/>
      <c r="G62" s="3213"/>
      <c r="H62" s="3180" t="s">
        <v>236</v>
      </c>
      <c r="I62" s="3108">
        <f>세출예산총괄표4!B63</f>
        <v>1700000</v>
      </c>
      <c r="J62" s="3183">
        <f t="shared" si="33"/>
        <v>1.9513702464477313E-4</v>
      </c>
      <c r="K62" s="3108">
        <v>5100000</v>
      </c>
      <c r="L62" s="3183">
        <f t="shared" si="14"/>
        <v>4.9890635813306186E-4</v>
      </c>
      <c r="M62" s="3107">
        <f>+I62-K62</f>
        <v>-3400000</v>
      </c>
      <c r="N62" s="3098">
        <f t="shared" si="34"/>
        <v>-0.66666666666666663</v>
      </c>
      <c r="O62" s="144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  <c r="AT62" s="142"/>
      <c r="AU62" s="142"/>
      <c r="AV62" s="142"/>
      <c r="AW62" s="142"/>
      <c r="AX62" s="142"/>
      <c r="AY62" s="142"/>
      <c r="AZ62" s="142"/>
      <c r="BA62" s="142"/>
      <c r="BB62" s="142"/>
      <c r="BC62" s="142"/>
      <c r="BD62" s="142"/>
      <c r="BE62" s="142"/>
      <c r="BF62" s="142"/>
      <c r="BG62" s="142"/>
      <c r="BH62" s="142"/>
      <c r="BI62" s="142"/>
      <c r="BJ62" s="142"/>
      <c r="BK62" s="142"/>
      <c r="BL62" s="142"/>
      <c r="BM62" s="142"/>
      <c r="BN62" s="142"/>
      <c r="BO62" s="142"/>
      <c r="BP62" s="142"/>
      <c r="BQ62" s="142"/>
      <c r="BR62" s="142"/>
      <c r="BS62" s="142"/>
      <c r="BT62" s="142"/>
      <c r="BU62" s="142"/>
      <c r="BV62" s="142"/>
      <c r="BW62" s="142"/>
      <c r="BX62" s="142"/>
      <c r="BY62" s="142"/>
      <c r="BZ62" s="142"/>
      <c r="CA62" s="142"/>
      <c r="CB62" s="142"/>
      <c r="CC62" s="142"/>
      <c r="CD62" s="142"/>
      <c r="CE62" s="142"/>
      <c r="CF62" s="142"/>
      <c r="CG62" s="142"/>
      <c r="CH62" s="142"/>
      <c r="CI62" s="142"/>
      <c r="CJ62" s="142"/>
      <c r="CK62" s="142"/>
      <c r="CL62" s="142"/>
      <c r="CM62" s="142"/>
      <c r="CN62" s="142"/>
      <c r="CO62" s="142"/>
      <c r="CP62" s="142"/>
      <c r="CQ62" s="142"/>
      <c r="CR62" s="142"/>
      <c r="CS62" s="142"/>
      <c r="CT62" s="142"/>
      <c r="CU62" s="142"/>
      <c r="CV62" s="142"/>
      <c r="CW62" s="142"/>
      <c r="CX62" s="142"/>
      <c r="CY62" s="142"/>
      <c r="CZ62" s="142"/>
      <c r="DA62" s="142"/>
      <c r="DB62" s="142"/>
      <c r="DC62" s="142"/>
      <c r="DD62" s="142"/>
      <c r="DE62" s="142"/>
      <c r="DF62" s="142"/>
      <c r="DG62" s="142"/>
      <c r="DH62" s="142"/>
      <c r="DI62" s="142"/>
      <c r="DJ62" s="142"/>
      <c r="DK62" s="142"/>
      <c r="DL62" s="142"/>
      <c r="DM62" s="142"/>
      <c r="DN62" s="142"/>
      <c r="DO62" s="142"/>
      <c r="DP62" s="142"/>
      <c r="DQ62" s="142"/>
      <c r="DR62" s="142"/>
      <c r="DS62" s="142"/>
      <c r="DT62" s="142"/>
      <c r="DU62" s="142"/>
      <c r="DV62" s="142"/>
      <c r="DW62" s="142"/>
      <c r="DX62" s="142"/>
      <c r="DY62" s="142"/>
      <c r="DZ62" s="142"/>
      <c r="EA62" s="142"/>
      <c r="EB62" s="142"/>
      <c r="EC62" s="142"/>
      <c r="ED62" s="142"/>
      <c r="EE62" s="142"/>
      <c r="EF62" s="142"/>
      <c r="EG62" s="142"/>
      <c r="EH62" s="142"/>
      <c r="EI62" s="142"/>
      <c r="EJ62" s="142"/>
      <c r="EK62" s="142"/>
      <c r="EL62" s="142"/>
      <c r="EM62" s="142"/>
      <c r="EN62" s="142"/>
      <c r="EO62" s="142"/>
      <c r="EP62" s="142"/>
      <c r="EQ62" s="142"/>
      <c r="ER62" s="142"/>
      <c r="ES62" s="142"/>
      <c r="ET62" s="142"/>
      <c r="EU62" s="142"/>
      <c r="EV62" s="142"/>
      <c r="EW62" s="142"/>
    </row>
    <row r="63" spans="1:153" s="143" customFormat="1" ht="27" customHeight="1">
      <c r="A63" s="3181"/>
      <c r="B63" s="3182"/>
      <c r="C63" s="3183"/>
      <c r="D63" s="3182"/>
      <c r="E63" s="3183"/>
      <c r="F63" s="3184"/>
      <c r="G63" s="3213"/>
      <c r="H63" s="3180" t="s">
        <v>2061</v>
      </c>
      <c r="I63" s="3108">
        <f>세출예산총괄표4!B64</f>
        <v>0</v>
      </c>
      <c r="J63" s="3183">
        <f t="shared" si="33"/>
        <v>0</v>
      </c>
      <c r="K63" s="3108">
        <v>7000000</v>
      </c>
      <c r="L63" s="3183">
        <f t="shared" si="14"/>
        <v>6.8477343273165353E-4</v>
      </c>
      <c r="M63" s="3107">
        <f>+I63-K63</f>
        <v>-7000000</v>
      </c>
      <c r="N63" s="3098">
        <f t="shared" si="34"/>
        <v>-1</v>
      </c>
      <c r="O63" s="144"/>
      <c r="P63" s="142"/>
      <c r="Q63" s="142"/>
      <c r="R63" s="142"/>
      <c r="S63" s="142"/>
      <c r="T63" s="142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2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2"/>
      <c r="CG63" s="142"/>
      <c r="CH63" s="142"/>
      <c r="CI63" s="142"/>
      <c r="CJ63" s="142"/>
      <c r="CK63" s="142"/>
      <c r="CL63" s="142"/>
      <c r="CM63" s="142"/>
      <c r="CN63" s="142"/>
      <c r="CO63" s="142"/>
      <c r="CP63" s="142"/>
      <c r="CQ63" s="142"/>
      <c r="CR63" s="142"/>
      <c r="CS63" s="142"/>
      <c r="CT63" s="142"/>
      <c r="CU63" s="142"/>
      <c r="CV63" s="142"/>
      <c r="CW63" s="142"/>
      <c r="CX63" s="142"/>
      <c r="CY63" s="142"/>
      <c r="CZ63" s="142"/>
      <c r="DA63" s="142"/>
      <c r="DB63" s="142"/>
      <c r="DC63" s="142"/>
      <c r="DD63" s="142"/>
      <c r="DE63" s="142"/>
      <c r="DF63" s="142"/>
      <c r="DG63" s="142"/>
      <c r="DH63" s="142"/>
      <c r="DI63" s="142"/>
      <c r="DJ63" s="142"/>
      <c r="DK63" s="142"/>
      <c r="DL63" s="142"/>
      <c r="DM63" s="142"/>
      <c r="DN63" s="142"/>
      <c r="DO63" s="142"/>
      <c r="DP63" s="142"/>
      <c r="DQ63" s="142"/>
      <c r="DR63" s="142"/>
      <c r="DS63" s="142"/>
      <c r="DT63" s="142"/>
      <c r="DU63" s="142"/>
      <c r="DV63" s="142"/>
      <c r="DW63" s="142"/>
      <c r="DX63" s="142"/>
      <c r="DY63" s="142"/>
      <c r="DZ63" s="142"/>
      <c r="EA63" s="142"/>
      <c r="EB63" s="142"/>
      <c r="EC63" s="142"/>
      <c r="ED63" s="142"/>
      <c r="EE63" s="142"/>
      <c r="EF63" s="142"/>
      <c r="EG63" s="142"/>
      <c r="EH63" s="142"/>
      <c r="EI63" s="142"/>
      <c r="EJ63" s="142"/>
      <c r="EK63" s="142"/>
      <c r="EL63" s="142"/>
      <c r="EM63" s="142"/>
      <c r="EN63" s="142"/>
      <c r="EO63" s="142"/>
      <c r="EP63" s="142"/>
      <c r="EQ63" s="142"/>
      <c r="ER63" s="142"/>
      <c r="ES63" s="142"/>
      <c r="ET63" s="142"/>
      <c r="EU63" s="142"/>
      <c r="EV63" s="142"/>
      <c r="EW63" s="142"/>
    </row>
    <row r="64" spans="1:153" s="143" customFormat="1" ht="27" customHeight="1">
      <c r="A64" s="3181"/>
      <c r="B64" s="3182"/>
      <c r="C64" s="3183"/>
      <c r="D64" s="3182"/>
      <c r="E64" s="3183"/>
      <c r="F64" s="3184"/>
      <c r="G64" s="3213"/>
      <c r="H64" s="3180" t="s">
        <v>583</v>
      </c>
      <c r="I64" s="3108">
        <f>세출예산총괄표4!B65</f>
        <v>3000000</v>
      </c>
      <c r="J64" s="3183">
        <f t="shared" si="33"/>
        <v>3.44359455255482E-4</v>
      </c>
      <c r="K64" s="3108">
        <v>320880000</v>
      </c>
      <c r="L64" s="3183">
        <f t="shared" si="14"/>
        <v>3.1390014156418997E-2</v>
      </c>
      <c r="M64" s="3107">
        <f t="shared" ref="M64:M65" si="40">+I64-K64</f>
        <v>-317880000</v>
      </c>
      <c r="N64" s="3098">
        <f t="shared" si="34"/>
        <v>-0.99065071054599851</v>
      </c>
      <c r="O64" s="144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2"/>
      <c r="BW64" s="142"/>
      <c r="BX64" s="142"/>
      <c r="BY64" s="142"/>
      <c r="BZ64" s="142"/>
      <c r="CA64" s="142"/>
      <c r="CB64" s="142"/>
      <c r="CC64" s="142"/>
      <c r="CD64" s="142"/>
      <c r="CE64" s="142"/>
      <c r="CF64" s="142"/>
      <c r="CG64" s="142"/>
      <c r="CH64" s="142"/>
      <c r="CI64" s="142"/>
      <c r="CJ64" s="142"/>
      <c r="CK64" s="142"/>
      <c r="CL64" s="142"/>
      <c r="CM64" s="142"/>
      <c r="CN64" s="142"/>
      <c r="CO64" s="142"/>
      <c r="CP64" s="142"/>
      <c r="CQ64" s="142"/>
      <c r="CR64" s="142"/>
      <c r="CS64" s="142"/>
      <c r="CT64" s="142"/>
      <c r="CU64" s="142"/>
      <c r="CV64" s="142"/>
      <c r="CW64" s="142"/>
      <c r="CX64" s="142"/>
      <c r="CY64" s="142"/>
      <c r="CZ64" s="142"/>
      <c r="DA64" s="142"/>
      <c r="DB64" s="142"/>
      <c r="DC64" s="142"/>
      <c r="DD64" s="142"/>
      <c r="DE64" s="142"/>
      <c r="DF64" s="142"/>
      <c r="DG64" s="142"/>
      <c r="DH64" s="142"/>
      <c r="DI64" s="142"/>
      <c r="DJ64" s="142"/>
      <c r="DK64" s="142"/>
      <c r="DL64" s="142"/>
      <c r="DM64" s="142"/>
      <c r="DN64" s="142"/>
      <c r="DO64" s="142"/>
      <c r="DP64" s="142"/>
      <c r="DQ64" s="142"/>
      <c r="DR64" s="142"/>
      <c r="DS64" s="142"/>
      <c r="DT64" s="142"/>
      <c r="DU64" s="142"/>
      <c r="DV64" s="142"/>
      <c r="DW64" s="142"/>
      <c r="DX64" s="142"/>
      <c r="DY64" s="142"/>
      <c r="DZ64" s="142"/>
      <c r="EA64" s="142"/>
      <c r="EB64" s="142"/>
      <c r="EC64" s="142"/>
      <c r="ED64" s="142"/>
      <c r="EE64" s="142"/>
      <c r="EF64" s="142"/>
      <c r="EG64" s="142"/>
      <c r="EH64" s="142"/>
      <c r="EI64" s="142"/>
      <c r="EJ64" s="142"/>
      <c r="EK64" s="142"/>
      <c r="EL64" s="142"/>
      <c r="EM64" s="142"/>
      <c r="EN64" s="142"/>
      <c r="EO64" s="142"/>
      <c r="EP64" s="142"/>
      <c r="EQ64" s="142"/>
      <c r="ER64" s="142"/>
      <c r="ES64" s="142"/>
      <c r="ET64" s="142"/>
      <c r="EU64" s="142"/>
      <c r="EV64" s="142"/>
      <c r="EW64" s="142"/>
    </row>
    <row r="65" spans="1:153" s="143" customFormat="1" ht="27" customHeight="1">
      <c r="A65" s="3181"/>
      <c r="B65" s="3182"/>
      <c r="C65" s="3183"/>
      <c r="D65" s="3182"/>
      <c r="E65" s="3183"/>
      <c r="F65" s="3184"/>
      <c r="G65" s="3213"/>
      <c r="H65" s="3180" t="s">
        <v>2062</v>
      </c>
      <c r="I65" s="3108">
        <f>세출예산총괄표4!B66</f>
        <v>1200000</v>
      </c>
      <c r="J65" s="3183">
        <f t="shared" si="33"/>
        <v>1.3774378210219281E-4</v>
      </c>
      <c r="K65" s="3108">
        <v>0</v>
      </c>
      <c r="L65" s="3183">
        <f t="shared" si="14"/>
        <v>0</v>
      </c>
      <c r="M65" s="3107">
        <f t="shared" si="40"/>
        <v>1200000</v>
      </c>
      <c r="N65" s="3098"/>
      <c r="O65" s="144"/>
      <c r="P65" s="142"/>
      <c r="Q65" s="142"/>
      <c r="R65" s="142"/>
      <c r="S65" s="142"/>
      <c r="T65" s="142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  <c r="AP65" s="142"/>
      <c r="AQ65" s="142"/>
      <c r="AR65" s="142"/>
      <c r="AS65" s="142"/>
      <c r="AT65" s="142"/>
      <c r="AU65" s="142"/>
      <c r="AV65" s="142"/>
      <c r="AW65" s="142"/>
      <c r="AX65" s="142"/>
      <c r="AY65" s="142"/>
      <c r="AZ65" s="142"/>
      <c r="BA65" s="142"/>
      <c r="BB65" s="142"/>
      <c r="BC65" s="142"/>
      <c r="BD65" s="142"/>
      <c r="BE65" s="142"/>
      <c r="BF65" s="142"/>
      <c r="BG65" s="142"/>
      <c r="BH65" s="142"/>
      <c r="BI65" s="142"/>
      <c r="BJ65" s="142"/>
      <c r="BK65" s="142"/>
      <c r="BL65" s="142"/>
      <c r="BM65" s="142"/>
      <c r="BN65" s="142"/>
      <c r="BO65" s="142"/>
      <c r="BP65" s="142"/>
      <c r="BQ65" s="142"/>
      <c r="BR65" s="142"/>
      <c r="BS65" s="142"/>
      <c r="BT65" s="142"/>
      <c r="BU65" s="142"/>
      <c r="BV65" s="142"/>
      <c r="BW65" s="142"/>
      <c r="BX65" s="142"/>
      <c r="BY65" s="142"/>
      <c r="BZ65" s="142"/>
      <c r="CA65" s="142"/>
      <c r="CB65" s="142"/>
      <c r="CC65" s="142"/>
      <c r="CD65" s="142"/>
      <c r="CE65" s="142"/>
      <c r="CF65" s="142"/>
      <c r="CG65" s="142"/>
      <c r="CH65" s="142"/>
      <c r="CI65" s="142"/>
      <c r="CJ65" s="142"/>
      <c r="CK65" s="142"/>
      <c r="CL65" s="142"/>
      <c r="CM65" s="142"/>
      <c r="CN65" s="142"/>
      <c r="CO65" s="142"/>
      <c r="CP65" s="142"/>
      <c r="CQ65" s="142"/>
      <c r="CR65" s="142"/>
      <c r="CS65" s="142"/>
      <c r="CT65" s="142"/>
      <c r="CU65" s="142"/>
      <c r="CV65" s="142"/>
      <c r="CW65" s="142"/>
      <c r="CX65" s="142"/>
      <c r="CY65" s="142"/>
      <c r="CZ65" s="142"/>
      <c r="DA65" s="142"/>
      <c r="DB65" s="142"/>
      <c r="DC65" s="142"/>
      <c r="DD65" s="142"/>
      <c r="DE65" s="142"/>
      <c r="DF65" s="142"/>
      <c r="DG65" s="142"/>
      <c r="DH65" s="142"/>
      <c r="DI65" s="142"/>
      <c r="DJ65" s="142"/>
      <c r="DK65" s="142"/>
      <c r="DL65" s="142"/>
      <c r="DM65" s="142"/>
      <c r="DN65" s="142"/>
      <c r="DO65" s="142"/>
      <c r="DP65" s="142"/>
      <c r="DQ65" s="142"/>
      <c r="DR65" s="142"/>
      <c r="DS65" s="142"/>
      <c r="DT65" s="142"/>
      <c r="DU65" s="142"/>
      <c r="DV65" s="142"/>
      <c r="DW65" s="142"/>
      <c r="DX65" s="142"/>
      <c r="DY65" s="142"/>
      <c r="DZ65" s="142"/>
      <c r="EA65" s="142"/>
      <c r="EB65" s="142"/>
      <c r="EC65" s="142"/>
      <c r="ED65" s="142"/>
      <c r="EE65" s="142"/>
      <c r="EF65" s="142"/>
      <c r="EG65" s="142"/>
      <c r="EH65" s="142"/>
      <c r="EI65" s="142"/>
      <c r="EJ65" s="142"/>
      <c r="EK65" s="142"/>
      <c r="EL65" s="142"/>
      <c r="EM65" s="142"/>
      <c r="EN65" s="142"/>
      <c r="EO65" s="142"/>
      <c r="EP65" s="142"/>
      <c r="EQ65" s="142"/>
      <c r="ER65" s="142"/>
      <c r="ES65" s="142"/>
      <c r="ET65" s="142"/>
      <c r="EU65" s="142"/>
      <c r="EV65" s="142"/>
      <c r="EW65" s="142"/>
    </row>
    <row r="66" spans="1:153" s="143" customFormat="1" ht="27" customHeight="1">
      <c r="A66" s="3181"/>
      <c r="B66" s="3182"/>
      <c r="C66" s="3183"/>
      <c r="D66" s="3182"/>
      <c r="E66" s="3183"/>
      <c r="F66" s="3184"/>
      <c r="G66" s="3213"/>
      <c r="H66" s="3180" t="s">
        <v>587</v>
      </c>
      <c r="I66" s="3108">
        <f>세출예산총괄표4!B67</f>
        <v>1500000</v>
      </c>
      <c r="J66" s="3183">
        <f t="shared" si="33"/>
        <v>1.72179727627741E-4</v>
      </c>
      <c r="K66" s="3108">
        <v>3800000</v>
      </c>
      <c r="L66" s="3183">
        <f t="shared" si="14"/>
        <v>3.7173414919718339E-4</v>
      </c>
      <c r="M66" s="3107">
        <f>+I66-K66</f>
        <v>-2300000</v>
      </c>
      <c r="N66" s="3098">
        <f t="shared" si="34"/>
        <v>-0.60526315789473684</v>
      </c>
      <c r="O66" s="144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  <c r="AP66" s="142"/>
      <c r="AQ66" s="142"/>
      <c r="AR66" s="142"/>
      <c r="AS66" s="142"/>
      <c r="AT66" s="142"/>
      <c r="AU66" s="142"/>
      <c r="AV66" s="142"/>
      <c r="AW66" s="142"/>
      <c r="AX66" s="142"/>
      <c r="AY66" s="142"/>
      <c r="AZ66" s="142"/>
      <c r="BA66" s="142"/>
      <c r="BB66" s="142"/>
      <c r="BC66" s="142"/>
      <c r="BD66" s="142"/>
      <c r="BE66" s="142"/>
      <c r="BF66" s="142"/>
      <c r="BG66" s="142"/>
      <c r="BH66" s="142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2"/>
      <c r="CU66" s="142"/>
      <c r="CV66" s="142"/>
      <c r="CW66" s="142"/>
      <c r="CX66" s="142"/>
      <c r="CY66" s="142"/>
      <c r="CZ66" s="142"/>
      <c r="DA66" s="142"/>
      <c r="DB66" s="142"/>
      <c r="DC66" s="142"/>
      <c r="DD66" s="142"/>
      <c r="DE66" s="142"/>
      <c r="DF66" s="142"/>
      <c r="DG66" s="142"/>
      <c r="DH66" s="142"/>
      <c r="DI66" s="142"/>
      <c r="DJ66" s="142"/>
      <c r="DK66" s="142"/>
      <c r="DL66" s="142"/>
      <c r="DM66" s="142"/>
      <c r="DN66" s="142"/>
      <c r="DO66" s="142"/>
      <c r="DP66" s="142"/>
      <c r="DQ66" s="142"/>
      <c r="DR66" s="142"/>
      <c r="DS66" s="142"/>
      <c r="DT66" s="142"/>
      <c r="DU66" s="142"/>
      <c r="DV66" s="142"/>
      <c r="DW66" s="142"/>
      <c r="DX66" s="142"/>
      <c r="DY66" s="142"/>
      <c r="DZ66" s="142"/>
      <c r="EA66" s="142"/>
      <c r="EB66" s="142"/>
      <c r="EC66" s="142"/>
      <c r="ED66" s="142"/>
      <c r="EE66" s="142"/>
      <c r="EF66" s="142"/>
      <c r="EG66" s="142"/>
      <c r="EH66" s="142"/>
      <c r="EI66" s="142"/>
      <c r="EJ66" s="142"/>
      <c r="EK66" s="142"/>
      <c r="EL66" s="142"/>
      <c r="EM66" s="142"/>
      <c r="EN66" s="142"/>
      <c r="EO66" s="142"/>
      <c r="EP66" s="142"/>
      <c r="EQ66" s="142"/>
      <c r="ER66" s="142"/>
      <c r="ES66" s="142"/>
      <c r="ET66" s="142"/>
      <c r="EU66" s="142"/>
      <c r="EV66" s="142"/>
      <c r="EW66" s="142"/>
    </row>
    <row r="67" spans="1:153" s="143" customFormat="1" ht="27" customHeight="1">
      <c r="A67" s="3181"/>
      <c r="B67" s="3182"/>
      <c r="C67" s="3183"/>
      <c r="D67" s="3182"/>
      <c r="E67" s="3183"/>
      <c r="F67" s="3184"/>
      <c r="G67" s="3213"/>
      <c r="H67" s="3193" t="s">
        <v>531</v>
      </c>
      <c r="I67" s="3153">
        <f>세출예산총괄표4!B68</f>
        <v>1200000</v>
      </c>
      <c r="J67" s="3189">
        <f t="shared" si="33"/>
        <v>1.3774378210219281E-4</v>
      </c>
      <c r="K67" s="3153">
        <v>0</v>
      </c>
      <c r="L67" s="3189">
        <f t="shared" si="14"/>
        <v>0</v>
      </c>
      <c r="M67" s="3154">
        <f>+I67-K67</f>
        <v>1200000</v>
      </c>
      <c r="N67" s="3114"/>
      <c r="O67" s="144"/>
      <c r="P67" s="142"/>
      <c r="Q67" s="142"/>
      <c r="R67" s="142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2"/>
      <c r="AT67" s="142"/>
      <c r="AU67" s="142"/>
      <c r="AV67" s="142"/>
      <c r="AW67" s="142"/>
      <c r="AX67" s="142"/>
      <c r="AY67" s="142"/>
      <c r="AZ67" s="142"/>
      <c r="BA67" s="142"/>
      <c r="BB67" s="142"/>
      <c r="BC67" s="142"/>
      <c r="BD67" s="142"/>
      <c r="BE67" s="142"/>
      <c r="BF67" s="142"/>
      <c r="BG67" s="142"/>
      <c r="BH67" s="142"/>
      <c r="BI67" s="142"/>
      <c r="BJ67" s="142"/>
      <c r="BK67" s="142"/>
      <c r="BL67" s="142"/>
      <c r="BM67" s="142"/>
      <c r="BN67" s="142"/>
      <c r="BO67" s="142"/>
      <c r="BP67" s="142"/>
      <c r="BQ67" s="142"/>
      <c r="BR67" s="142"/>
      <c r="BS67" s="142"/>
      <c r="BT67" s="142"/>
      <c r="BU67" s="142"/>
      <c r="BV67" s="142"/>
      <c r="BW67" s="142"/>
      <c r="BX67" s="142"/>
      <c r="BY67" s="142"/>
      <c r="BZ67" s="142"/>
      <c r="CA67" s="142"/>
      <c r="CB67" s="142"/>
      <c r="CC67" s="142"/>
      <c r="CD67" s="142"/>
      <c r="CE67" s="142"/>
      <c r="CF67" s="142"/>
      <c r="CG67" s="142"/>
      <c r="CH67" s="142"/>
      <c r="CI67" s="142"/>
      <c r="CJ67" s="142"/>
      <c r="CK67" s="142"/>
      <c r="CL67" s="142"/>
      <c r="CM67" s="142"/>
      <c r="CN67" s="142"/>
      <c r="CO67" s="142"/>
      <c r="CP67" s="142"/>
      <c r="CQ67" s="142"/>
      <c r="CR67" s="142"/>
      <c r="CS67" s="142"/>
      <c r="CT67" s="142"/>
      <c r="CU67" s="142"/>
      <c r="CV67" s="142"/>
      <c r="CW67" s="142"/>
      <c r="CX67" s="142"/>
      <c r="CY67" s="142"/>
      <c r="CZ67" s="142"/>
      <c r="DA67" s="142"/>
      <c r="DB67" s="142"/>
      <c r="DC67" s="142"/>
      <c r="DD67" s="142"/>
      <c r="DE67" s="142"/>
      <c r="DF67" s="142"/>
      <c r="DG67" s="142"/>
      <c r="DH67" s="142"/>
      <c r="DI67" s="142"/>
      <c r="DJ67" s="142"/>
      <c r="DK67" s="142"/>
      <c r="DL67" s="142"/>
      <c r="DM67" s="142"/>
      <c r="DN67" s="142"/>
      <c r="DO67" s="142"/>
      <c r="DP67" s="142"/>
      <c r="DQ67" s="142"/>
      <c r="DR67" s="142"/>
      <c r="DS67" s="142"/>
      <c r="DT67" s="142"/>
      <c r="DU67" s="142"/>
      <c r="DV67" s="142"/>
      <c r="DW67" s="142"/>
      <c r="DX67" s="142"/>
      <c r="DY67" s="142"/>
      <c r="DZ67" s="142"/>
      <c r="EA67" s="142"/>
      <c r="EB67" s="142"/>
      <c r="EC67" s="142"/>
      <c r="ED67" s="142"/>
      <c r="EE67" s="142"/>
      <c r="EF67" s="142"/>
      <c r="EG67" s="142"/>
      <c r="EH67" s="142"/>
      <c r="EI67" s="142"/>
      <c r="EJ67" s="142"/>
      <c r="EK67" s="142"/>
      <c r="EL67" s="142"/>
      <c r="EM67" s="142"/>
      <c r="EN67" s="142"/>
      <c r="EO67" s="142"/>
      <c r="EP67" s="142"/>
      <c r="EQ67" s="142"/>
      <c r="ER67" s="142"/>
      <c r="ES67" s="142"/>
      <c r="ET67" s="142"/>
      <c r="EU67" s="142"/>
      <c r="EV67" s="142"/>
      <c r="EW67" s="142"/>
    </row>
    <row r="68" spans="1:153" s="143" customFormat="1" ht="27" customHeight="1">
      <c r="A68" s="3181"/>
      <c r="B68" s="3182"/>
      <c r="C68" s="3183"/>
      <c r="D68" s="3182"/>
      <c r="E68" s="3183"/>
      <c r="F68" s="3184"/>
      <c r="G68" s="3213"/>
      <c r="H68" s="3186" t="s">
        <v>2072</v>
      </c>
      <c r="I68" s="284">
        <f>SUM(I69:I69)</f>
        <v>91448000</v>
      </c>
      <c r="J68" s="367">
        <f>I68/$I$6</f>
        <v>1.0496994488067773E-2</v>
      </c>
      <c r="K68" s="284">
        <f>SUM(K69:K69)</f>
        <v>91448000</v>
      </c>
      <c r="L68" s="367">
        <f>K68/$K$6</f>
        <v>8.9458801252063225E-3</v>
      </c>
      <c r="M68" s="287">
        <f>I68-K68</f>
        <v>0</v>
      </c>
      <c r="N68" s="288">
        <f>+M68/K68</f>
        <v>0</v>
      </c>
      <c r="O68" s="144"/>
      <c r="P68" s="142"/>
      <c r="Q68" s="142"/>
      <c r="R68" s="142"/>
      <c r="S68" s="142"/>
      <c r="T68" s="142"/>
      <c r="U68" s="142"/>
      <c r="V68" s="142"/>
      <c r="W68" s="142"/>
      <c r="X68" s="142"/>
      <c r="Y68" s="142"/>
      <c r="Z68" s="142"/>
      <c r="AA68" s="142"/>
      <c r="AB68" s="142"/>
      <c r="AC68" s="142"/>
      <c r="AD68" s="142"/>
      <c r="AE68" s="142"/>
      <c r="AF68" s="142"/>
      <c r="AG68" s="142"/>
      <c r="AH68" s="142"/>
      <c r="AI68" s="142"/>
      <c r="AJ68" s="142"/>
      <c r="AK68" s="142"/>
      <c r="AL68" s="142"/>
      <c r="AM68" s="142"/>
      <c r="AN68" s="142"/>
      <c r="AO68" s="142"/>
      <c r="AP68" s="142"/>
      <c r="AQ68" s="142"/>
      <c r="AR68" s="142"/>
      <c r="AS68" s="142"/>
      <c r="AT68" s="142"/>
      <c r="AU68" s="142"/>
      <c r="AV68" s="142"/>
      <c r="AW68" s="142"/>
      <c r="AX68" s="142"/>
      <c r="AY68" s="142"/>
      <c r="AZ68" s="142"/>
      <c r="BA68" s="142"/>
      <c r="BB68" s="142"/>
      <c r="BC68" s="142"/>
      <c r="BD68" s="142"/>
      <c r="BE68" s="142"/>
      <c r="BF68" s="142"/>
      <c r="BG68" s="142"/>
      <c r="BH68" s="142"/>
      <c r="BI68" s="142"/>
      <c r="BJ68" s="142"/>
      <c r="BK68" s="142"/>
      <c r="BL68" s="142"/>
      <c r="BM68" s="142"/>
      <c r="BN68" s="142"/>
      <c r="BO68" s="142"/>
      <c r="BP68" s="142"/>
      <c r="BQ68" s="142"/>
      <c r="BR68" s="142"/>
      <c r="BS68" s="142"/>
      <c r="BT68" s="142"/>
      <c r="BU68" s="142"/>
      <c r="BV68" s="142"/>
      <c r="BW68" s="142"/>
      <c r="BX68" s="142"/>
      <c r="BY68" s="142"/>
      <c r="BZ68" s="142"/>
      <c r="CA68" s="142"/>
      <c r="CB68" s="142"/>
      <c r="CC68" s="142"/>
      <c r="CD68" s="142"/>
      <c r="CE68" s="142"/>
      <c r="CF68" s="142"/>
      <c r="CG68" s="142"/>
      <c r="CH68" s="142"/>
      <c r="CI68" s="142"/>
      <c r="CJ68" s="142"/>
      <c r="CK68" s="142"/>
      <c r="CL68" s="142"/>
      <c r="CM68" s="142"/>
      <c r="CN68" s="142"/>
      <c r="CO68" s="142"/>
      <c r="CP68" s="142"/>
      <c r="CQ68" s="142"/>
      <c r="CR68" s="142"/>
      <c r="CS68" s="142"/>
      <c r="CT68" s="142"/>
      <c r="CU68" s="142"/>
      <c r="CV68" s="142"/>
      <c r="CW68" s="142"/>
      <c r="CX68" s="142"/>
      <c r="CY68" s="142"/>
      <c r="CZ68" s="142"/>
      <c r="DA68" s="142"/>
      <c r="DB68" s="142"/>
      <c r="DC68" s="142"/>
      <c r="DD68" s="142"/>
      <c r="DE68" s="142"/>
      <c r="DF68" s="142"/>
      <c r="DG68" s="142"/>
      <c r="DH68" s="142"/>
      <c r="DI68" s="142"/>
      <c r="DJ68" s="142"/>
      <c r="DK68" s="142"/>
      <c r="DL68" s="142"/>
      <c r="DM68" s="142"/>
      <c r="DN68" s="142"/>
      <c r="DO68" s="142"/>
      <c r="DP68" s="142"/>
      <c r="DQ68" s="142"/>
      <c r="DR68" s="142"/>
      <c r="DS68" s="142"/>
      <c r="DT68" s="142"/>
      <c r="DU68" s="142"/>
      <c r="DV68" s="142"/>
      <c r="DW68" s="142"/>
      <c r="DX68" s="142"/>
      <c r="DY68" s="142"/>
      <c r="DZ68" s="142"/>
      <c r="EA68" s="142"/>
      <c r="EB68" s="142"/>
      <c r="EC68" s="142"/>
      <c r="ED68" s="142"/>
      <c r="EE68" s="142"/>
      <c r="EF68" s="142"/>
      <c r="EG68" s="142"/>
      <c r="EH68" s="142"/>
      <c r="EI68" s="142"/>
      <c r="EJ68" s="142"/>
      <c r="EK68" s="142"/>
      <c r="EL68" s="142"/>
      <c r="EM68" s="142"/>
      <c r="EN68" s="142"/>
      <c r="EO68" s="142"/>
      <c r="EP68" s="142"/>
      <c r="EQ68" s="142"/>
      <c r="ER68" s="142"/>
      <c r="ES68" s="142"/>
      <c r="ET68" s="142"/>
      <c r="EU68" s="142"/>
      <c r="EV68" s="142"/>
      <c r="EW68" s="142"/>
    </row>
    <row r="69" spans="1:153" s="143" customFormat="1" ht="27" customHeight="1">
      <c r="A69" s="3181"/>
      <c r="B69" s="3182"/>
      <c r="C69" s="3183"/>
      <c r="D69" s="3182"/>
      <c r="E69" s="3183"/>
      <c r="F69" s="3184"/>
      <c r="G69" s="3213"/>
      <c r="H69" s="3206" t="s">
        <v>2063</v>
      </c>
      <c r="I69" s="3155">
        <f>세출예산총괄표4!B70</f>
        <v>91448000</v>
      </c>
      <c r="J69" s="3183">
        <f t="shared" si="33"/>
        <v>1.0496994488067773E-2</v>
      </c>
      <c r="K69" s="3121">
        <v>91448000</v>
      </c>
      <c r="L69" s="3183">
        <f t="shared" si="14"/>
        <v>8.9458801252063225E-3</v>
      </c>
      <c r="M69" s="3123">
        <f>+I69-K69</f>
        <v>0</v>
      </c>
      <c r="N69" s="3124">
        <f t="shared" ref="N69:N71" si="41">+M69/K69</f>
        <v>0</v>
      </c>
      <c r="O69" s="144"/>
      <c r="P69" s="142"/>
      <c r="Q69" s="142"/>
      <c r="R69" s="142"/>
      <c r="S69" s="142"/>
      <c r="T69" s="142"/>
      <c r="U69" s="142"/>
      <c r="V69" s="142"/>
      <c r="W69" s="142"/>
      <c r="X69" s="142"/>
      <c r="Y69" s="142"/>
      <c r="Z69" s="142"/>
      <c r="AA69" s="142"/>
      <c r="AB69" s="142"/>
      <c r="AC69" s="142"/>
      <c r="AD69" s="142"/>
      <c r="AE69" s="142"/>
      <c r="AF69" s="142"/>
      <c r="AG69" s="142"/>
      <c r="AH69" s="142"/>
      <c r="AI69" s="142"/>
      <c r="AJ69" s="142"/>
      <c r="AK69" s="142"/>
      <c r="AL69" s="142"/>
      <c r="AM69" s="142"/>
      <c r="AN69" s="142"/>
      <c r="AO69" s="142"/>
      <c r="AP69" s="142"/>
      <c r="AQ69" s="142"/>
      <c r="AR69" s="142"/>
      <c r="AS69" s="142"/>
      <c r="AT69" s="142"/>
      <c r="AU69" s="142"/>
      <c r="AV69" s="142"/>
      <c r="AW69" s="142"/>
      <c r="AX69" s="142"/>
      <c r="AY69" s="142"/>
      <c r="AZ69" s="142"/>
      <c r="BA69" s="142"/>
      <c r="BB69" s="142"/>
      <c r="BC69" s="142"/>
      <c r="BD69" s="142"/>
      <c r="BE69" s="142"/>
      <c r="BF69" s="142"/>
      <c r="BG69" s="142"/>
      <c r="BH69" s="142"/>
      <c r="BI69" s="142"/>
      <c r="BJ69" s="142"/>
      <c r="BK69" s="142"/>
      <c r="BL69" s="142"/>
      <c r="BM69" s="142"/>
      <c r="BN69" s="142"/>
      <c r="BO69" s="142"/>
      <c r="BP69" s="142"/>
      <c r="BQ69" s="142"/>
      <c r="BR69" s="142"/>
      <c r="BS69" s="142"/>
      <c r="BT69" s="142"/>
      <c r="BU69" s="142"/>
      <c r="BV69" s="142"/>
      <c r="BW69" s="142"/>
      <c r="BX69" s="142"/>
      <c r="BY69" s="142"/>
      <c r="BZ69" s="142"/>
      <c r="CA69" s="142"/>
      <c r="CB69" s="142"/>
      <c r="CC69" s="142"/>
      <c r="CD69" s="142"/>
      <c r="CE69" s="142"/>
      <c r="CF69" s="142"/>
      <c r="CG69" s="142"/>
      <c r="CH69" s="142"/>
      <c r="CI69" s="142"/>
      <c r="CJ69" s="142"/>
      <c r="CK69" s="142"/>
      <c r="CL69" s="142"/>
      <c r="CM69" s="142"/>
      <c r="CN69" s="142"/>
      <c r="CO69" s="142"/>
      <c r="CP69" s="142"/>
      <c r="CQ69" s="142"/>
      <c r="CR69" s="142"/>
      <c r="CS69" s="142"/>
      <c r="CT69" s="142"/>
      <c r="CU69" s="142"/>
      <c r="CV69" s="142"/>
      <c r="CW69" s="142"/>
      <c r="CX69" s="142"/>
      <c r="CY69" s="142"/>
      <c r="CZ69" s="142"/>
      <c r="DA69" s="142"/>
      <c r="DB69" s="142"/>
      <c r="DC69" s="142"/>
      <c r="DD69" s="142"/>
      <c r="DE69" s="142"/>
      <c r="DF69" s="142"/>
      <c r="DG69" s="142"/>
      <c r="DH69" s="142"/>
      <c r="DI69" s="142"/>
      <c r="DJ69" s="142"/>
      <c r="DK69" s="142"/>
      <c r="DL69" s="142"/>
      <c r="DM69" s="142"/>
      <c r="DN69" s="142"/>
      <c r="DO69" s="142"/>
      <c r="DP69" s="142"/>
      <c r="DQ69" s="142"/>
      <c r="DR69" s="142"/>
      <c r="DS69" s="142"/>
      <c r="DT69" s="142"/>
      <c r="DU69" s="142"/>
      <c r="DV69" s="142"/>
      <c r="DW69" s="142"/>
      <c r="DX69" s="142"/>
      <c r="DY69" s="142"/>
      <c r="DZ69" s="142"/>
      <c r="EA69" s="142"/>
      <c r="EB69" s="142"/>
      <c r="EC69" s="142"/>
      <c r="ED69" s="142"/>
      <c r="EE69" s="142"/>
      <c r="EF69" s="142"/>
      <c r="EG69" s="142"/>
      <c r="EH69" s="142"/>
      <c r="EI69" s="142"/>
      <c r="EJ69" s="142"/>
      <c r="EK69" s="142"/>
      <c r="EL69" s="142"/>
      <c r="EM69" s="142"/>
      <c r="EN69" s="142"/>
      <c r="EO69" s="142"/>
      <c r="EP69" s="142"/>
      <c r="EQ69" s="142"/>
      <c r="ER69" s="142"/>
      <c r="ES69" s="142"/>
      <c r="ET69" s="142"/>
      <c r="EU69" s="142"/>
      <c r="EV69" s="142"/>
      <c r="EW69" s="142"/>
    </row>
    <row r="70" spans="1:153" s="143" customFormat="1" ht="27" customHeight="1">
      <c r="A70" s="3181"/>
      <c r="B70" s="3182"/>
      <c r="C70" s="3183"/>
      <c r="D70" s="3182"/>
      <c r="E70" s="3183"/>
      <c r="F70" s="3184"/>
      <c r="G70" s="3213"/>
      <c r="H70" s="3186" t="s">
        <v>2073</v>
      </c>
      <c r="I70" s="284">
        <f>SUM(I71:I71)</f>
        <v>0</v>
      </c>
      <c r="J70" s="367">
        <f>I70/$I$6</f>
        <v>0</v>
      </c>
      <c r="K70" s="284">
        <f>SUM(K71:K71)</f>
        <v>20000000</v>
      </c>
      <c r="L70" s="367">
        <f>K70/$K$6</f>
        <v>1.956495522090439E-3</v>
      </c>
      <c r="M70" s="287">
        <f>I70-K70</f>
        <v>-20000000</v>
      </c>
      <c r="N70" s="288">
        <f t="shared" si="41"/>
        <v>-1</v>
      </c>
      <c r="O70" s="144"/>
      <c r="P70" s="142"/>
      <c r="Q70" s="142"/>
      <c r="R70" s="142"/>
      <c r="S70" s="142"/>
      <c r="T70" s="142"/>
      <c r="U70" s="142"/>
      <c r="V70" s="142"/>
      <c r="W70" s="142"/>
      <c r="X70" s="142"/>
      <c r="Y70" s="142"/>
      <c r="Z70" s="142"/>
      <c r="AA70" s="142"/>
      <c r="AB70" s="142"/>
      <c r="AC70" s="142"/>
      <c r="AD70" s="142"/>
      <c r="AE70" s="142"/>
      <c r="AF70" s="142"/>
      <c r="AG70" s="142"/>
      <c r="AH70" s="142"/>
      <c r="AI70" s="142"/>
      <c r="AJ70" s="142"/>
      <c r="AK70" s="142"/>
      <c r="AL70" s="142"/>
      <c r="AM70" s="142"/>
      <c r="AN70" s="142"/>
      <c r="AO70" s="142"/>
      <c r="AP70" s="142"/>
      <c r="AQ70" s="142"/>
      <c r="AR70" s="142"/>
      <c r="AS70" s="142"/>
      <c r="AT70" s="142"/>
      <c r="AU70" s="142"/>
      <c r="AV70" s="142"/>
      <c r="AW70" s="142"/>
      <c r="AX70" s="142"/>
      <c r="AY70" s="142"/>
      <c r="AZ70" s="142"/>
      <c r="BA70" s="142"/>
      <c r="BB70" s="142"/>
      <c r="BC70" s="142"/>
      <c r="BD70" s="142"/>
      <c r="BE70" s="142"/>
      <c r="BF70" s="142"/>
      <c r="BG70" s="142"/>
      <c r="BH70" s="142"/>
      <c r="BI70" s="142"/>
      <c r="BJ70" s="142"/>
      <c r="BK70" s="142"/>
      <c r="BL70" s="142"/>
      <c r="BM70" s="142"/>
      <c r="BN70" s="142"/>
      <c r="BO70" s="142"/>
      <c r="BP70" s="142"/>
      <c r="BQ70" s="142"/>
      <c r="BR70" s="142"/>
      <c r="BS70" s="142"/>
      <c r="BT70" s="142"/>
      <c r="BU70" s="142"/>
      <c r="BV70" s="142"/>
      <c r="BW70" s="142"/>
      <c r="BX70" s="142"/>
      <c r="BY70" s="142"/>
      <c r="BZ70" s="142"/>
      <c r="CA70" s="142"/>
      <c r="CB70" s="142"/>
      <c r="CC70" s="142"/>
      <c r="CD70" s="142"/>
      <c r="CE70" s="142"/>
      <c r="CF70" s="142"/>
      <c r="CG70" s="142"/>
      <c r="CH70" s="142"/>
      <c r="CI70" s="142"/>
      <c r="CJ70" s="142"/>
      <c r="CK70" s="142"/>
      <c r="CL70" s="142"/>
      <c r="CM70" s="142"/>
      <c r="CN70" s="142"/>
      <c r="CO70" s="142"/>
      <c r="CP70" s="142"/>
      <c r="CQ70" s="142"/>
      <c r="CR70" s="142"/>
      <c r="CS70" s="142"/>
      <c r="CT70" s="142"/>
      <c r="CU70" s="142"/>
      <c r="CV70" s="142"/>
      <c r="CW70" s="142"/>
      <c r="CX70" s="142"/>
      <c r="CY70" s="142"/>
      <c r="CZ70" s="142"/>
      <c r="DA70" s="142"/>
      <c r="DB70" s="142"/>
      <c r="DC70" s="142"/>
      <c r="DD70" s="142"/>
      <c r="DE70" s="142"/>
      <c r="DF70" s="142"/>
      <c r="DG70" s="142"/>
      <c r="DH70" s="142"/>
      <c r="DI70" s="142"/>
      <c r="DJ70" s="142"/>
      <c r="DK70" s="142"/>
      <c r="DL70" s="142"/>
      <c r="DM70" s="142"/>
      <c r="DN70" s="142"/>
      <c r="DO70" s="142"/>
      <c r="DP70" s="142"/>
      <c r="DQ70" s="142"/>
      <c r="DR70" s="142"/>
      <c r="DS70" s="142"/>
      <c r="DT70" s="142"/>
      <c r="DU70" s="142"/>
      <c r="DV70" s="142"/>
      <c r="DW70" s="142"/>
      <c r="DX70" s="142"/>
      <c r="DY70" s="142"/>
      <c r="DZ70" s="142"/>
      <c r="EA70" s="142"/>
      <c r="EB70" s="142"/>
      <c r="EC70" s="142"/>
      <c r="ED70" s="142"/>
      <c r="EE70" s="142"/>
      <c r="EF70" s="142"/>
      <c r="EG70" s="142"/>
      <c r="EH70" s="142"/>
      <c r="EI70" s="142"/>
      <c r="EJ70" s="142"/>
      <c r="EK70" s="142"/>
      <c r="EL70" s="142"/>
      <c r="EM70" s="142"/>
      <c r="EN70" s="142"/>
      <c r="EO70" s="142"/>
      <c r="EP70" s="142"/>
      <c r="EQ70" s="142"/>
      <c r="ER70" s="142"/>
      <c r="ES70" s="142"/>
      <c r="ET70" s="142"/>
      <c r="EU70" s="142"/>
      <c r="EV70" s="142"/>
      <c r="EW70" s="142"/>
    </row>
    <row r="71" spans="1:153" s="143" customFormat="1" ht="27" customHeight="1">
      <c r="A71" s="3187"/>
      <c r="B71" s="3188"/>
      <c r="C71" s="3189"/>
      <c r="D71" s="3188"/>
      <c r="E71" s="3189"/>
      <c r="F71" s="3190"/>
      <c r="G71" s="3191"/>
      <c r="H71" s="3214" t="s">
        <v>2063</v>
      </c>
      <c r="I71" s="3155">
        <f>세출예산총괄표4!B72</f>
        <v>0</v>
      </c>
      <c r="J71" s="3183">
        <f t="shared" ref="J71" si="42">I71/$I$6</f>
        <v>0</v>
      </c>
      <c r="K71" s="3155">
        <v>20000000</v>
      </c>
      <c r="L71" s="3183">
        <f t="shared" si="14"/>
        <v>1.956495522090439E-3</v>
      </c>
      <c r="M71" s="3157">
        <f>+I71-K71</f>
        <v>-20000000</v>
      </c>
      <c r="N71" s="3158">
        <f t="shared" si="41"/>
        <v>-1</v>
      </c>
      <c r="O71" s="144"/>
      <c r="P71" s="142"/>
      <c r="Q71" s="142"/>
      <c r="R71" s="142"/>
      <c r="S71" s="142"/>
      <c r="T71" s="142"/>
      <c r="U71" s="142"/>
      <c r="V71" s="142"/>
      <c r="W71" s="142"/>
      <c r="X71" s="142"/>
      <c r="Y71" s="142"/>
      <c r="Z71" s="142"/>
      <c r="AA71" s="142"/>
      <c r="AB71" s="142"/>
      <c r="AC71" s="142"/>
      <c r="AD71" s="142"/>
      <c r="AE71" s="142"/>
      <c r="AF71" s="142"/>
      <c r="AG71" s="142"/>
      <c r="AH71" s="142"/>
      <c r="AI71" s="142"/>
      <c r="AJ71" s="142"/>
      <c r="AK71" s="142"/>
      <c r="AL71" s="142"/>
      <c r="AM71" s="142"/>
      <c r="AN71" s="142"/>
      <c r="AO71" s="142"/>
      <c r="AP71" s="142"/>
      <c r="AQ71" s="142"/>
      <c r="AR71" s="142"/>
      <c r="AS71" s="142"/>
      <c r="AT71" s="142"/>
      <c r="AU71" s="142"/>
      <c r="AV71" s="142"/>
      <c r="AW71" s="142"/>
      <c r="AX71" s="142"/>
      <c r="AY71" s="142"/>
      <c r="AZ71" s="142"/>
      <c r="BA71" s="142"/>
      <c r="BB71" s="142"/>
      <c r="BC71" s="142"/>
      <c r="BD71" s="142"/>
      <c r="BE71" s="142"/>
      <c r="BF71" s="142"/>
      <c r="BG71" s="142"/>
      <c r="BH71" s="142"/>
      <c r="BI71" s="142"/>
      <c r="BJ71" s="142"/>
      <c r="BK71" s="142"/>
      <c r="BL71" s="142"/>
      <c r="BM71" s="142"/>
      <c r="BN71" s="142"/>
      <c r="BO71" s="142"/>
      <c r="BP71" s="142"/>
      <c r="BQ71" s="142"/>
      <c r="BR71" s="142"/>
      <c r="BS71" s="142"/>
      <c r="BT71" s="142"/>
      <c r="BU71" s="142"/>
      <c r="BV71" s="142"/>
      <c r="BW71" s="142"/>
      <c r="BX71" s="142"/>
      <c r="BY71" s="142"/>
      <c r="BZ71" s="142"/>
      <c r="CA71" s="142"/>
      <c r="CB71" s="142"/>
      <c r="CC71" s="142"/>
      <c r="CD71" s="142"/>
      <c r="CE71" s="142"/>
      <c r="CF71" s="142"/>
      <c r="CG71" s="142"/>
      <c r="CH71" s="142"/>
      <c r="CI71" s="142"/>
      <c r="CJ71" s="142"/>
      <c r="CK71" s="142"/>
      <c r="CL71" s="142"/>
      <c r="CM71" s="142"/>
      <c r="CN71" s="142"/>
      <c r="CO71" s="142"/>
      <c r="CP71" s="142"/>
      <c r="CQ71" s="142"/>
      <c r="CR71" s="142"/>
      <c r="CS71" s="142"/>
      <c r="CT71" s="142"/>
      <c r="CU71" s="142"/>
      <c r="CV71" s="142"/>
      <c r="CW71" s="142"/>
      <c r="CX71" s="142"/>
      <c r="CY71" s="142"/>
      <c r="CZ71" s="142"/>
      <c r="DA71" s="142"/>
      <c r="DB71" s="142"/>
      <c r="DC71" s="142"/>
      <c r="DD71" s="142"/>
      <c r="DE71" s="142"/>
      <c r="DF71" s="142"/>
      <c r="DG71" s="142"/>
      <c r="DH71" s="142"/>
      <c r="DI71" s="142"/>
      <c r="DJ71" s="142"/>
      <c r="DK71" s="142"/>
      <c r="DL71" s="142"/>
      <c r="DM71" s="142"/>
      <c r="DN71" s="142"/>
      <c r="DO71" s="142"/>
      <c r="DP71" s="142"/>
      <c r="DQ71" s="142"/>
      <c r="DR71" s="142"/>
      <c r="DS71" s="142"/>
      <c r="DT71" s="142"/>
      <c r="DU71" s="142"/>
      <c r="DV71" s="142"/>
      <c r="DW71" s="142"/>
      <c r="DX71" s="142"/>
      <c r="DY71" s="142"/>
      <c r="DZ71" s="142"/>
      <c r="EA71" s="142"/>
      <c r="EB71" s="142"/>
      <c r="EC71" s="142"/>
      <c r="ED71" s="142"/>
      <c r="EE71" s="142"/>
      <c r="EF71" s="142"/>
      <c r="EG71" s="142"/>
      <c r="EH71" s="142"/>
      <c r="EI71" s="142"/>
      <c r="EJ71" s="142"/>
      <c r="EK71" s="142"/>
      <c r="EL71" s="142"/>
      <c r="EM71" s="142"/>
      <c r="EN71" s="142"/>
      <c r="EO71" s="142"/>
      <c r="EP71" s="142"/>
      <c r="EQ71" s="142"/>
      <c r="ER71" s="142"/>
      <c r="ES71" s="142"/>
      <c r="ET71" s="142"/>
      <c r="EU71" s="142"/>
      <c r="EV71" s="142"/>
      <c r="EW71" s="142"/>
    </row>
    <row r="72" spans="1:153" s="143" customFormat="1" ht="27" customHeight="1">
      <c r="A72" s="3215" t="s">
        <v>722</v>
      </c>
      <c r="B72" s="373">
        <f>B73+B82+B89</f>
        <v>2344993000</v>
      </c>
      <c r="C72" s="374">
        <f>B72/$B$6</f>
        <v>0.26917350401930618</v>
      </c>
      <c r="D72" s="373">
        <f>D73+D82+D89</f>
        <v>1957269000</v>
      </c>
      <c r="E72" s="374">
        <f>D72/$D$6</f>
        <v>0.19146940544741189</v>
      </c>
      <c r="F72" s="375">
        <f>B72-D72</f>
        <v>387724000</v>
      </c>
      <c r="G72" s="376">
        <f>F72/D72</f>
        <v>0.19809438559543935</v>
      </c>
      <c r="H72" s="3216" t="s">
        <v>798</v>
      </c>
      <c r="I72" s="324">
        <f>SUM(I73,I80,I92,I99,I109,I116,I118,I131)</f>
        <v>2397314000</v>
      </c>
      <c r="J72" s="325">
        <f>I72/$I$6</f>
        <v>0.27517924770544688</v>
      </c>
      <c r="K72" s="324">
        <f>SUM(K73,K80,K92,K99,K109,K116,K118,K131)</f>
        <v>2188137000</v>
      </c>
      <c r="L72" s="325">
        <f>K72/$K$6</f>
        <v>0.21405401211102032</v>
      </c>
      <c r="M72" s="326">
        <f>SUM(M73,M80,M92,M99,M109,M116,M118,M131)</f>
        <v>209177000</v>
      </c>
      <c r="N72" s="327">
        <f t="shared" ref="N72:N98" si="43">+M72/K72</f>
        <v>9.5595933892621901E-2</v>
      </c>
      <c r="O72" s="144"/>
      <c r="P72" s="142"/>
      <c r="Q72" s="142"/>
      <c r="R72" s="142"/>
      <c r="S72" s="142"/>
      <c r="T72" s="142"/>
      <c r="U72" s="142"/>
      <c r="V72" s="142"/>
      <c r="W72" s="142"/>
      <c r="X72" s="142"/>
      <c r="Y72" s="142"/>
      <c r="Z72" s="142"/>
      <c r="AA72" s="142"/>
      <c r="AB72" s="142"/>
      <c r="AC72" s="142"/>
      <c r="AD72" s="142"/>
      <c r="AE72" s="142"/>
      <c r="AF72" s="142"/>
      <c r="AG72" s="142"/>
      <c r="AH72" s="142"/>
      <c r="AI72" s="142"/>
      <c r="AJ72" s="142"/>
      <c r="AK72" s="142"/>
      <c r="AL72" s="142"/>
      <c r="AM72" s="142"/>
      <c r="AN72" s="142"/>
      <c r="AO72" s="142"/>
      <c r="AP72" s="142"/>
      <c r="AQ72" s="142"/>
      <c r="AR72" s="142"/>
      <c r="AS72" s="142"/>
      <c r="AT72" s="142"/>
      <c r="AU72" s="142"/>
      <c r="AV72" s="142"/>
      <c r="AW72" s="142"/>
      <c r="AX72" s="142"/>
      <c r="AY72" s="142"/>
      <c r="AZ72" s="142"/>
      <c r="BA72" s="142"/>
      <c r="BB72" s="142"/>
      <c r="BC72" s="142"/>
      <c r="BD72" s="142"/>
      <c r="BE72" s="142"/>
      <c r="BF72" s="142"/>
      <c r="BG72" s="142"/>
      <c r="BH72" s="142"/>
      <c r="BI72" s="142"/>
      <c r="BJ72" s="142"/>
      <c r="BK72" s="142"/>
      <c r="BL72" s="142"/>
      <c r="BM72" s="142"/>
      <c r="BN72" s="142"/>
      <c r="BO72" s="142"/>
      <c r="BP72" s="142"/>
      <c r="BQ72" s="142"/>
      <c r="BR72" s="142"/>
      <c r="BS72" s="142"/>
      <c r="BT72" s="142"/>
      <c r="BU72" s="142"/>
      <c r="BV72" s="142"/>
      <c r="BW72" s="142"/>
      <c r="BX72" s="142"/>
      <c r="BY72" s="142"/>
      <c r="BZ72" s="142"/>
      <c r="CA72" s="142"/>
      <c r="CB72" s="142"/>
      <c r="CC72" s="142"/>
      <c r="CD72" s="142"/>
      <c r="CE72" s="142"/>
      <c r="CF72" s="142"/>
      <c r="CG72" s="142"/>
      <c r="CH72" s="142"/>
      <c r="CI72" s="142"/>
      <c r="CJ72" s="142"/>
      <c r="CK72" s="142"/>
      <c r="CL72" s="142"/>
      <c r="CM72" s="142"/>
      <c r="CN72" s="142"/>
      <c r="CO72" s="142"/>
      <c r="CP72" s="142"/>
      <c r="CQ72" s="142"/>
      <c r="CR72" s="142"/>
      <c r="CS72" s="142"/>
      <c r="CT72" s="142"/>
      <c r="CU72" s="142"/>
      <c r="CV72" s="142"/>
      <c r="CW72" s="142"/>
      <c r="CX72" s="142"/>
      <c r="CY72" s="142"/>
      <c r="CZ72" s="142"/>
      <c r="DA72" s="142"/>
      <c r="DB72" s="142"/>
      <c r="DC72" s="142"/>
      <c r="DD72" s="142"/>
      <c r="DE72" s="142"/>
      <c r="DF72" s="142"/>
      <c r="DG72" s="142"/>
      <c r="DH72" s="142"/>
      <c r="DI72" s="142"/>
      <c r="DJ72" s="142"/>
      <c r="DK72" s="142"/>
      <c r="DL72" s="142"/>
      <c r="DM72" s="142"/>
      <c r="DN72" s="142"/>
      <c r="DO72" s="142"/>
      <c r="DP72" s="142"/>
      <c r="DQ72" s="142"/>
      <c r="DR72" s="142"/>
      <c r="DS72" s="142"/>
      <c r="DT72" s="142"/>
      <c r="DU72" s="142"/>
      <c r="DV72" s="142"/>
      <c r="DW72" s="142"/>
      <c r="DX72" s="142"/>
      <c r="DY72" s="142"/>
      <c r="DZ72" s="142"/>
      <c r="EA72" s="142"/>
      <c r="EB72" s="142"/>
      <c r="EC72" s="142"/>
      <c r="ED72" s="142"/>
      <c r="EE72" s="142"/>
      <c r="EF72" s="142"/>
      <c r="EG72" s="142"/>
      <c r="EH72" s="142"/>
      <c r="EI72" s="142"/>
      <c r="EJ72" s="142"/>
      <c r="EK72" s="142"/>
      <c r="EL72" s="142"/>
      <c r="EM72" s="142"/>
      <c r="EN72" s="142"/>
      <c r="EO72" s="142"/>
      <c r="EP72" s="142"/>
      <c r="EQ72" s="142"/>
      <c r="ER72" s="142"/>
      <c r="ES72" s="142"/>
      <c r="ET72" s="142"/>
      <c r="EU72" s="142"/>
      <c r="EV72" s="142"/>
      <c r="EW72" s="142"/>
    </row>
    <row r="73" spans="1:153" s="143" customFormat="1" ht="27" customHeight="1">
      <c r="A73" s="3173" t="s">
        <v>710</v>
      </c>
      <c r="B73" s="366">
        <f>SUM(B74:B81)</f>
        <v>1912797000</v>
      </c>
      <c r="C73" s="377">
        <f>B73/$B$6</f>
        <v>0.21956324431144006</v>
      </c>
      <c r="D73" s="366">
        <f>SUM(D74:D81)</f>
        <v>1567430000</v>
      </c>
      <c r="E73" s="377">
        <f>D73/$D$6</f>
        <v>0.15333349180947373</v>
      </c>
      <c r="F73" s="368">
        <f>B73-D73</f>
        <v>345367000</v>
      </c>
      <c r="G73" s="378">
        <f>F73/D73</f>
        <v>0.22033966429122831</v>
      </c>
      <c r="H73" s="3172" t="s">
        <v>799</v>
      </c>
      <c r="I73" s="279">
        <f>SUM(I74:I79)</f>
        <v>302874000</v>
      </c>
      <c r="J73" s="367">
        <f>I73/$I$6</f>
        <v>3.4765841883682952E-2</v>
      </c>
      <c r="K73" s="279">
        <f>SUM(K74:K79)</f>
        <v>265752000</v>
      </c>
      <c r="L73" s="280">
        <f>K73/$K$6</f>
        <v>2.5997129899328914E-2</v>
      </c>
      <c r="M73" s="281">
        <f>SUM(M74:M79)</f>
        <v>37122000</v>
      </c>
      <c r="N73" s="300">
        <f t="shared" si="43"/>
        <v>0.13968662512417593</v>
      </c>
      <c r="O73" s="144"/>
      <c r="P73" s="142"/>
      <c r="Q73" s="142"/>
      <c r="R73" s="142"/>
      <c r="S73" s="142"/>
      <c r="T73" s="142"/>
      <c r="U73" s="142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42"/>
      <c r="AH73" s="142"/>
      <c r="AI73" s="142"/>
      <c r="AJ73" s="142"/>
      <c r="AK73" s="142"/>
      <c r="AL73" s="142"/>
      <c r="AM73" s="142"/>
      <c r="AN73" s="142"/>
      <c r="AO73" s="142"/>
      <c r="AP73" s="142"/>
      <c r="AQ73" s="142"/>
      <c r="AR73" s="142"/>
      <c r="AS73" s="142"/>
      <c r="AT73" s="142"/>
      <c r="AU73" s="142"/>
      <c r="AV73" s="142"/>
      <c r="AW73" s="142"/>
      <c r="AX73" s="142"/>
      <c r="AY73" s="142"/>
      <c r="AZ73" s="142"/>
      <c r="BA73" s="142"/>
      <c r="BB73" s="142"/>
      <c r="BC73" s="142"/>
      <c r="BD73" s="142"/>
      <c r="BE73" s="142"/>
      <c r="BF73" s="142"/>
      <c r="BG73" s="142"/>
      <c r="BH73" s="142"/>
      <c r="BI73" s="142"/>
      <c r="BJ73" s="142"/>
      <c r="BK73" s="142"/>
      <c r="BL73" s="142"/>
      <c r="BM73" s="142"/>
      <c r="BN73" s="142"/>
      <c r="BO73" s="142"/>
      <c r="BP73" s="142"/>
      <c r="BQ73" s="142"/>
      <c r="BR73" s="142"/>
      <c r="BS73" s="142"/>
      <c r="BT73" s="142"/>
      <c r="BU73" s="142"/>
      <c r="BV73" s="142"/>
      <c r="BW73" s="142"/>
      <c r="BX73" s="142"/>
      <c r="BY73" s="142"/>
      <c r="BZ73" s="142"/>
      <c r="CA73" s="142"/>
      <c r="CB73" s="142"/>
      <c r="CC73" s="142"/>
      <c r="CD73" s="142"/>
      <c r="CE73" s="142"/>
      <c r="CF73" s="142"/>
      <c r="CG73" s="142"/>
      <c r="CH73" s="142"/>
      <c r="CI73" s="142"/>
      <c r="CJ73" s="142"/>
      <c r="CK73" s="142"/>
      <c r="CL73" s="142"/>
      <c r="CM73" s="142"/>
      <c r="CN73" s="142"/>
      <c r="CO73" s="142"/>
      <c r="CP73" s="142"/>
      <c r="CQ73" s="142"/>
      <c r="CR73" s="142"/>
      <c r="CS73" s="142"/>
      <c r="CT73" s="142"/>
      <c r="CU73" s="142"/>
      <c r="CV73" s="142"/>
      <c r="CW73" s="142"/>
      <c r="CX73" s="142"/>
      <c r="CY73" s="142"/>
      <c r="CZ73" s="142"/>
      <c r="DA73" s="142"/>
      <c r="DB73" s="142"/>
      <c r="DC73" s="142"/>
      <c r="DD73" s="142"/>
      <c r="DE73" s="142"/>
      <c r="DF73" s="142"/>
      <c r="DG73" s="142"/>
      <c r="DH73" s="142"/>
      <c r="DI73" s="142"/>
      <c r="DJ73" s="142"/>
      <c r="DK73" s="142"/>
      <c r="DL73" s="142"/>
      <c r="DM73" s="142"/>
      <c r="DN73" s="142"/>
      <c r="DO73" s="142"/>
      <c r="DP73" s="142"/>
      <c r="DQ73" s="142"/>
      <c r="DR73" s="142"/>
      <c r="DS73" s="142"/>
      <c r="DT73" s="142"/>
      <c r="DU73" s="142"/>
      <c r="DV73" s="142"/>
      <c r="DW73" s="142"/>
      <c r="DX73" s="142"/>
      <c r="DY73" s="142"/>
      <c r="DZ73" s="142"/>
      <c r="EA73" s="142"/>
      <c r="EB73" s="142"/>
      <c r="EC73" s="142"/>
      <c r="ED73" s="142"/>
      <c r="EE73" s="142"/>
      <c r="EF73" s="142"/>
      <c r="EG73" s="142"/>
      <c r="EH73" s="142"/>
      <c r="EI73" s="142"/>
      <c r="EJ73" s="142"/>
      <c r="EK73" s="142"/>
      <c r="EL73" s="142"/>
      <c r="EM73" s="142"/>
      <c r="EN73" s="142"/>
      <c r="EO73" s="142"/>
      <c r="EP73" s="142"/>
      <c r="EQ73" s="142"/>
      <c r="ER73" s="142"/>
      <c r="ES73" s="142"/>
      <c r="ET73" s="142"/>
      <c r="EU73" s="142"/>
      <c r="EV73" s="142"/>
      <c r="EW73" s="142"/>
    </row>
    <row r="74" spans="1:153" s="143" customFormat="1" ht="27" customHeight="1">
      <c r="A74" s="3217" t="s">
        <v>576</v>
      </c>
      <c r="B74" s="3218">
        <f>세입예산총괄표3!B59</f>
        <v>715450000</v>
      </c>
      <c r="C74" s="3219">
        <f>B74/$B$6</f>
        <v>8.21239907541782E-2</v>
      </c>
      <c r="D74" s="3218">
        <v>597440000</v>
      </c>
      <c r="E74" s="3219">
        <f>D74/$D$6</f>
        <v>5.8444435379348347E-2</v>
      </c>
      <c r="F74" s="3220">
        <f>B74-D74</f>
        <v>118010000</v>
      </c>
      <c r="G74" s="3221">
        <f>F74/D74</f>
        <v>0.19752611140867701</v>
      </c>
      <c r="H74" s="3222" t="s">
        <v>800</v>
      </c>
      <c r="I74" s="3139">
        <f>세출예산총괄표4!B75</f>
        <v>187960000</v>
      </c>
      <c r="J74" s="3177">
        <f t="shared" ref="J74:J136" si="44">I74/$I$6</f>
        <v>2.1575267736606799E-2</v>
      </c>
      <c r="K74" s="3139">
        <v>171310000</v>
      </c>
      <c r="L74" s="3177">
        <f t="shared" ref="L74:L136" si="45">K74/$K$6</f>
        <v>1.6758362394465653E-2</v>
      </c>
      <c r="M74" s="3141">
        <f t="shared" ref="M74:M79" si="46">+I74-K74</f>
        <v>16650000</v>
      </c>
      <c r="N74" s="3142">
        <f t="shared" si="43"/>
        <v>9.719222462203024E-2</v>
      </c>
      <c r="O74" s="144"/>
      <c r="P74" s="142"/>
      <c r="Q74" s="142"/>
      <c r="R74" s="142"/>
      <c r="S74" s="142"/>
      <c r="T74" s="142"/>
      <c r="U74" s="142"/>
      <c r="V74" s="142"/>
      <c r="W74" s="142"/>
      <c r="X74" s="142"/>
      <c r="Y74" s="142"/>
      <c r="Z74" s="142"/>
      <c r="AA74" s="142"/>
      <c r="AB74" s="142"/>
      <c r="AC74" s="142"/>
      <c r="AD74" s="142"/>
      <c r="AE74" s="142"/>
      <c r="AF74" s="142"/>
      <c r="AG74" s="142"/>
      <c r="AH74" s="142"/>
      <c r="AI74" s="142"/>
      <c r="AJ74" s="142"/>
      <c r="AK74" s="142"/>
      <c r="AL74" s="142"/>
      <c r="AM74" s="142"/>
      <c r="AN74" s="142"/>
      <c r="AO74" s="142"/>
      <c r="AP74" s="142"/>
      <c r="AQ74" s="142"/>
      <c r="AR74" s="142"/>
      <c r="AS74" s="142"/>
      <c r="AT74" s="142"/>
      <c r="AU74" s="142"/>
      <c r="AV74" s="142"/>
      <c r="AW74" s="142"/>
      <c r="AX74" s="142"/>
      <c r="AY74" s="142"/>
      <c r="AZ74" s="142"/>
      <c r="BA74" s="142"/>
      <c r="BB74" s="142"/>
      <c r="BC74" s="142"/>
      <c r="BD74" s="142"/>
      <c r="BE74" s="142"/>
      <c r="BF74" s="142"/>
      <c r="BG74" s="142"/>
      <c r="BH74" s="142"/>
      <c r="BI74" s="142"/>
      <c r="BJ74" s="142"/>
      <c r="BK74" s="142"/>
      <c r="BL74" s="142"/>
      <c r="BM74" s="142"/>
      <c r="BN74" s="142"/>
      <c r="BO74" s="142"/>
      <c r="BP74" s="142"/>
      <c r="BQ74" s="142"/>
      <c r="BR74" s="142"/>
      <c r="BS74" s="142"/>
      <c r="BT74" s="142"/>
      <c r="BU74" s="142"/>
      <c r="BV74" s="142"/>
      <c r="BW74" s="142"/>
      <c r="BX74" s="142"/>
      <c r="BY74" s="142"/>
      <c r="BZ74" s="142"/>
      <c r="CA74" s="142"/>
      <c r="CB74" s="142"/>
      <c r="CC74" s="142"/>
      <c r="CD74" s="142"/>
      <c r="CE74" s="142"/>
      <c r="CF74" s="142"/>
      <c r="CG74" s="142"/>
      <c r="CH74" s="142"/>
      <c r="CI74" s="142"/>
      <c r="CJ74" s="142"/>
      <c r="CK74" s="142"/>
      <c r="CL74" s="142"/>
      <c r="CM74" s="142"/>
      <c r="CN74" s="142"/>
      <c r="CO74" s="142"/>
      <c r="CP74" s="142"/>
      <c r="CQ74" s="142"/>
      <c r="CR74" s="142"/>
      <c r="CS74" s="142"/>
      <c r="CT74" s="142"/>
      <c r="CU74" s="142"/>
      <c r="CV74" s="142"/>
      <c r="CW74" s="142"/>
      <c r="CX74" s="142"/>
      <c r="CY74" s="142"/>
      <c r="CZ74" s="142"/>
      <c r="DA74" s="142"/>
      <c r="DB74" s="142"/>
      <c r="DC74" s="142"/>
      <c r="DD74" s="142"/>
      <c r="DE74" s="142"/>
      <c r="DF74" s="142"/>
      <c r="DG74" s="142"/>
      <c r="DH74" s="142"/>
      <c r="DI74" s="142"/>
      <c r="DJ74" s="142"/>
      <c r="DK74" s="142"/>
      <c r="DL74" s="142"/>
      <c r="DM74" s="142"/>
      <c r="DN74" s="142"/>
      <c r="DO74" s="142"/>
      <c r="DP74" s="142"/>
      <c r="DQ74" s="142"/>
      <c r="DR74" s="142"/>
      <c r="DS74" s="142"/>
      <c r="DT74" s="142"/>
      <c r="DU74" s="142"/>
      <c r="DV74" s="142"/>
      <c r="DW74" s="142"/>
      <c r="DX74" s="142"/>
      <c r="DY74" s="142"/>
      <c r="DZ74" s="142"/>
      <c r="EA74" s="142"/>
      <c r="EB74" s="142"/>
      <c r="EC74" s="142"/>
      <c r="ED74" s="142"/>
      <c r="EE74" s="142"/>
      <c r="EF74" s="142"/>
      <c r="EG74" s="142"/>
      <c r="EH74" s="142"/>
      <c r="EI74" s="142"/>
      <c r="EJ74" s="142"/>
      <c r="EK74" s="142"/>
      <c r="EL74" s="142"/>
      <c r="EM74" s="142"/>
      <c r="EN74" s="142"/>
      <c r="EO74" s="142"/>
      <c r="EP74" s="142"/>
      <c r="EQ74" s="142"/>
      <c r="ER74" s="142"/>
      <c r="ES74" s="142"/>
      <c r="ET74" s="142"/>
      <c r="EU74" s="142"/>
      <c r="EV74" s="142"/>
      <c r="EW74" s="142"/>
    </row>
    <row r="75" spans="1:153" s="143" customFormat="1" ht="27" customHeight="1">
      <c r="A75" s="3223" t="s">
        <v>580</v>
      </c>
      <c r="B75" s="380">
        <f>세입예산총괄표3!B60</f>
        <v>18100000</v>
      </c>
      <c r="C75" s="381">
        <f>B75/$B$6</f>
        <v>2.0776353800414081E-3</v>
      </c>
      <c r="D75" s="380">
        <v>5250000</v>
      </c>
      <c r="E75" s="381">
        <f>D75/$D$6</f>
        <v>5.1358008459691153E-4</v>
      </c>
      <c r="F75" s="382">
        <f>B75-D75</f>
        <v>12850000</v>
      </c>
      <c r="G75" s="3224">
        <f>F75/D75</f>
        <v>2.4476190476190478</v>
      </c>
      <c r="H75" s="3180" t="s">
        <v>384</v>
      </c>
      <c r="I75" s="3129">
        <f>세출예산총괄표4!B76</f>
        <v>47711000</v>
      </c>
      <c r="J75" s="3183">
        <f t="shared" si="44"/>
        <v>5.4765779898981008E-3</v>
      </c>
      <c r="K75" s="3129">
        <v>34140000</v>
      </c>
      <c r="L75" s="3183">
        <f t="shared" si="45"/>
        <v>3.3397378562083791E-3</v>
      </c>
      <c r="M75" s="3131">
        <f t="shared" si="46"/>
        <v>13571000</v>
      </c>
      <c r="N75" s="3132">
        <f t="shared" si="43"/>
        <v>0.39751025190392503</v>
      </c>
      <c r="O75" s="144"/>
      <c r="P75" s="142"/>
      <c r="Q75" s="142"/>
      <c r="R75" s="142"/>
      <c r="S75" s="142"/>
      <c r="T75" s="142"/>
      <c r="U75" s="142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42"/>
      <c r="AH75" s="142"/>
      <c r="AI75" s="142"/>
      <c r="AJ75" s="142"/>
      <c r="AK75" s="142"/>
      <c r="AL75" s="142"/>
      <c r="AM75" s="142"/>
      <c r="AN75" s="142"/>
      <c r="AO75" s="142"/>
      <c r="AP75" s="142"/>
      <c r="AQ75" s="142"/>
      <c r="AR75" s="142"/>
      <c r="AS75" s="142"/>
      <c r="AT75" s="142"/>
      <c r="AU75" s="142"/>
      <c r="AV75" s="142"/>
      <c r="AW75" s="142"/>
      <c r="AX75" s="142"/>
      <c r="AY75" s="142"/>
      <c r="AZ75" s="142"/>
      <c r="BA75" s="142"/>
      <c r="BB75" s="142"/>
      <c r="BC75" s="142"/>
      <c r="BD75" s="142"/>
      <c r="BE75" s="142"/>
      <c r="BF75" s="142"/>
      <c r="BG75" s="142"/>
      <c r="BH75" s="142"/>
      <c r="BI75" s="142"/>
      <c r="BJ75" s="142"/>
      <c r="BK75" s="142"/>
      <c r="BL75" s="142"/>
      <c r="BM75" s="142"/>
      <c r="BN75" s="142"/>
      <c r="BO75" s="142"/>
      <c r="BP75" s="142"/>
      <c r="BQ75" s="142"/>
      <c r="BR75" s="142"/>
      <c r="BS75" s="142"/>
      <c r="BT75" s="142"/>
      <c r="BU75" s="142"/>
      <c r="BV75" s="142"/>
      <c r="BW75" s="142"/>
      <c r="BX75" s="142"/>
      <c r="BY75" s="142"/>
      <c r="BZ75" s="142"/>
      <c r="CA75" s="142"/>
      <c r="CB75" s="142"/>
      <c r="CC75" s="142"/>
      <c r="CD75" s="142"/>
      <c r="CE75" s="142"/>
      <c r="CF75" s="142"/>
      <c r="CG75" s="142"/>
      <c r="CH75" s="142"/>
      <c r="CI75" s="142"/>
      <c r="CJ75" s="142"/>
      <c r="CK75" s="142"/>
      <c r="CL75" s="142"/>
      <c r="CM75" s="142"/>
      <c r="CN75" s="142"/>
      <c r="CO75" s="142"/>
      <c r="CP75" s="142"/>
      <c r="CQ75" s="142"/>
      <c r="CR75" s="142"/>
      <c r="CS75" s="142"/>
      <c r="CT75" s="142"/>
      <c r="CU75" s="142"/>
      <c r="CV75" s="142"/>
      <c r="CW75" s="142"/>
      <c r="CX75" s="142"/>
      <c r="CY75" s="142"/>
      <c r="CZ75" s="142"/>
      <c r="DA75" s="142"/>
      <c r="DB75" s="142"/>
      <c r="DC75" s="142"/>
      <c r="DD75" s="142"/>
      <c r="DE75" s="142"/>
      <c r="DF75" s="142"/>
      <c r="DG75" s="142"/>
      <c r="DH75" s="142"/>
      <c r="DI75" s="142"/>
      <c r="DJ75" s="142"/>
      <c r="DK75" s="142"/>
      <c r="DL75" s="142"/>
      <c r="DM75" s="142"/>
      <c r="DN75" s="142"/>
      <c r="DO75" s="142"/>
      <c r="DP75" s="142"/>
      <c r="DQ75" s="142"/>
      <c r="DR75" s="142"/>
      <c r="DS75" s="142"/>
      <c r="DT75" s="142"/>
      <c r="DU75" s="142"/>
      <c r="DV75" s="142"/>
      <c r="DW75" s="142"/>
      <c r="DX75" s="142"/>
      <c r="DY75" s="142"/>
      <c r="DZ75" s="142"/>
      <c r="EA75" s="142"/>
      <c r="EB75" s="142"/>
      <c r="EC75" s="142"/>
      <c r="ED75" s="142"/>
      <c r="EE75" s="142"/>
      <c r="EF75" s="142"/>
      <c r="EG75" s="142"/>
      <c r="EH75" s="142"/>
      <c r="EI75" s="142"/>
      <c r="EJ75" s="142"/>
      <c r="EK75" s="142"/>
      <c r="EL75" s="142"/>
      <c r="EM75" s="142"/>
      <c r="EN75" s="142"/>
      <c r="EO75" s="142"/>
      <c r="EP75" s="142"/>
      <c r="EQ75" s="142"/>
      <c r="ER75" s="142"/>
      <c r="ES75" s="142"/>
      <c r="ET75" s="142"/>
      <c r="EU75" s="142"/>
      <c r="EV75" s="142"/>
      <c r="EW75" s="142"/>
    </row>
    <row r="76" spans="1:153" s="143" customFormat="1" ht="27" customHeight="1">
      <c r="A76" s="3223" t="s">
        <v>582</v>
      </c>
      <c r="B76" s="380">
        <f>'예산세입(탄현)'!P8</f>
        <v>111120000</v>
      </c>
      <c r="C76" s="381">
        <f t="shared" ref="C76:C88" si="47">B76/$B$6</f>
        <v>1.2755074222663053E-2</v>
      </c>
      <c r="D76" s="380">
        <v>100900000</v>
      </c>
      <c r="E76" s="381">
        <f t="shared" ref="E76:E88" si="48">D76/$D$6</f>
        <v>9.8705201020625466E-3</v>
      </c>
      <c r="F76" s="382">
        <f t="shared" ref="F76:F81" si="49">B76-D76</f>
        <v>10220000</v>
      </c>
      <c r="G76" s="3224">
        <f t="shared" ref="G76:G80" si="50">F76/D76</f>
        <v>0.10128840436075322</v>
      </c>
      <c r="H76" s="3225" t="s">
        <v>801</v>
      </c>
      <c r="I76" s="3129">
        <f>세출예산총괄표4!B77</f>
        <v>35699000</v>
      </c>
      <c r="J76" s="3183">
        <f t="shared" si="44"/>
        <v>4.0977627310551509E-3</v>
      </c>
      <c r="K76" s="3129">
        <v>34302000</v>
      </c>
      <c r="L76" s="3183">
        <f t="shared" si="45"/>
        <v>3.3555854699373116E-3</v>
      </c>
      <c r="M76" s="3131">
        <f t="shared" si="46"/>
        <v>1397000</v>
      </c>
      <c r="N76" s="3132">
        <f t="shared" si="43"/>
        <v>4.0726488251413909E-2</v>
      </c>
      <c r="O76" s="144"/>
      <c r="P76" s="142"/>
      <c r="Q76" s="142"/>
      <c r="R76" s="142"/>
      <c r="S76" s="142"/>
      <c r="T76" s="142"/>
      <c r="U76" s="142"/>
      <c r="V76" s="142"/>
      <c r="W76" s="142"/>
      <c r="X76" s="142"/>
      <c r="Y76" s="142"/>
      <c r="Z76" s="142"/>
      <c r="AA76" s="142"/>
      <c r="AB76" s="142"/>
      <c r="AC76" s="142"/>
      <c r="AD76" s="142"/>
      <c r="AE76" s="142"/>
      <c r="AF76" s="142"/>
      <c r="AG76" s="142"/>
      <c r="AH76" s="142"/>
      <c r="AI76" s="142"/>
      <c r="AJ76" s="142"/>
      <c r="AK76" s="142"/>
      <c r="AL76" s="142"/>
      <c r="AM76" s="142"/>
      <c r="AN76" s="142"/>
      <c r="AO76" s="142"/>
      <c r="AP76" s="142"/>
      <c r="AQ76" s="142"/>
      <c r="AR76" s="142"/>
      <c r="AS76" s="142"/>
      <c r="AT76" s="142"/>
      <c r="AU76" s="142"/>
      <c r="AV76" s="142"/>
      <c r="AW76" s="142"/>
      <c r="AX76" s="142"/>
      <c r="AY76" s="142"/>
      <c r="AZ76" s="142"/>
      <c r="BA76" s="142"/>
      <c r="BB76" s="142"/>
      <c r="BC76" s="142"/>
      <c r="BD76" s="142"/>
      <c r="BE76" s="142"/>
      <c r="BF76" s="142"/>
      <c r="BG76" s="142"/>
      <c r="BH76" s="142"/>
      <c r="BI76" s="142"/>
      <c r="BJ76" s="142"/>
      <c r="BK76" s="142"/>
      <c r="BL76" s="142"/>
      <c r="BM76" s="142"/>
      <c r="BN76" s="142"/>
      <c r="BO76" s="142"/>
      <c r="BP76" s="142"/>
      <c r="BQ76" s="142"/>
      <c r="BR76" s="142"/>
      <c r="BS76" s="142"/>
      <c r="BT76" s="142"/>
      <c r="BU76" s="142"/>
      <c r="BV76" s="142"/>
      <c r="BW76" s="142"/>
      <c r="BX76" s="142"/>
      <c r="BY76" s="142"/>
      <c r="BZ76" s="142"/>
      <c r="CA76" s="142"/>
      <c r="CB76" s="142"/>
      <c r="CC76" s="142"/>
      <c r="CD76" s="142"/>
      <c r="CE76" s="142"/>
      <c r="CF76" s="142"/>
      <c r="CG76" s="142"/>
      <c r="CH76" s="142"/>
      <c r="CI76" s="142"/>
      <c r="CJ76" s="142"/>
      <c r="CK76" s="142"/>
      <c r="CL76" s="142"/>
      <c r="CM76" s="142"/>
      <c r="CN76" s="142"/>
      <c r="CO76" s="142"/>
      <c r="CP76" s="142"/>
      <c r="CQ76" s="142"/>
      <c r="CR76" s="142"/>
      <c r="CS76" s="142"/>
      <c r="CT76" s="142"/>
      <c r="CU76" s="142"/>
      <c r="CV76" s="142"/>
      <c r="CW76" s="142"/>
      <c r="CX76" s="142"/>
      <c r="CY76" s="142"/>
      <c r="CZ76" s="142"/>
      <c r="DA76" s="142"/>
      <c r="DB76" s="142"/>
      <c r="DC76" s="142"/>
      <c r="DD76" s="142"/>
      <c r="DE76" s="142"/>
      <c r="DF76" s="142"/>
      <c r="DG76" s="142"/>
      <c r="DH76" s="142"/>
      <c r="DI76" s="142"/>
      <c r="DJ76" s="142"/>
      <c r="DK76" s="142"/>
      <c r="DL76" s="142"/>
      <c r="DM76" s="142"/>
      <c r="DN76" s="142"/>
      <c r="DO76" s="142"/>
      <c r="DP76" s="142"/>
      <c r="DQ76" s="142"/>
      <c r="DR76" s="142"/>
      <c r="DS76" s="142"/>
      <c r="DT76" s="142"/>
      <c r="DU76" s="142"/>
      <c r="DV76" s="142"/>
      <c r="DW76" s="142"/>
      <c r="DX76" s="142"/>
      <c r="DY76" s="142"/>
      <c r="DZ76" s="142"/>
      <c r="EA76" s="142"/>
      <c r="EB76" s="142"/>
      <c r="EC76" s="142"/>
      <c r="ED76" s="142"/>
      <c r="EE76" s="142"/>
      <c r="EF76" s="142"/>
      <c r="EG76" s="142"/>
      <c r="EH76" s="142"/>
      <c r="EI76" s="142"/>
      <c r="EJ76" s="142"/>
      <c r="EK76" s="142"/>
      <c r="EL76" s="142"/>
      <c r="EM76" s="142"/>
      <c r="EN76" s="142"/>
      <c r="EO76" s="142"/>
      <c r="EP76" s="142"/>
      <c r="EQ76" s="142"/>
      <c r="ER76" s="142"/>
      <c r="ES76" s="142"/>
      <c r="ET76" s="142"/>
      <c r="EU76" s="142"/>
      <c r="EV76" s="142"/>
      <c r="EW76" s="142"/>
    </row>
    <row r="77" spans="1:153" s="143" customFormat="1" ht="27" customHeight="1">
      <c r="A77" s="3223" t="s">
        <v>584</v>
      </c>
      <c r="B77" s="380">
        <v>0</v>
      </c>
      <c r="C77" s="381">
        <f t="shared" si="47"/>
        <v>0</v>
      </c>
      <c r="D77" s="380">
        <v>1480000</v>
      </c>
      <c r="E77" s="381">
        <f t="shared" si="48"/>
        <v>1.4478067146731982E-4</v>
      </c>
      <c r="F77" s="382">
        <f t="shared" si="49"/>
        <v>-1480000</v>
      </c>
      <c r="G77" s="3224">
        <f t="shared" si="50"/>
        <v>-1</v>
      </c>
      <c r="H77" s="3180" t="s">
        <v>802</v>
      </c>
      <c r="I77" s="3129">
        <f>세출예산총괄표4!B78</f>
        <v>9664000</v>
      </c>
      <c r="J77" s="3183">
        <f t="shared" si="44"/>
        <v>1.1092965918629927E-3</v>
      </c>
      <c r="K77" s="3129">
        <v>0</v>
      </c>
      <c r="L77" s="3183">
        <f t="shared" si="45"/>
        <v>0</v>
      </c>
      <c r="M77" s="3131">
        <f t="shared" si="46"/>
        <v>9664000</v>
      </c>
      <c r="N77" s="3132"/>
      <c r="O77" s="144"/>
      <c r="P77" s="142"/>
      <c r="Q77" s="142"/>
      <c r="R77" s="142"/>
      <c r="S77" s="142"/>
      <c r="T77" s="142"/>
      <c r="U77" s="142"/>
      <c r="V77" s="142"/>
      <c r="W77" s="142"/>
      <c r="X77" s="142"/>
      <c r="Y77" s="142"/>
      <c r="Z77" s="142"/>
      <c r="AA77" s="142"/>
      <c r="AB77" s="142"/>
      <c r="AC77" s="142"/>
      <c r="AD77" s="142"/>
      <c r="AE77" s="142"/>
      <c r="AF77" s="142"/>
      <c r="AG77" s="142"/>
      <c r="AH77" s="142"/>
      <c r="AI77" s="142"/>
      <c r="AJ77" s="142"/>
      <c r="AK77" s="142"/>
      <c r="AL77" s="142"/>
      <c r="AM77" s="142"/>
      <c r="AN77" s="142"/>
      <c r="AO77" s="142"/>
      <c r="AP77" s="142"/>
      <c r="AQ77" s="142"/>
      <c r="AR77" s="142"/>
      <c r="AS77" s="142"/>
      <c r="AT77" s="142"/>
      <c r="AU77" s="142"/>
      <c r="AV77" s="142"/>
      <c r="AW77" s="142"/>
      <c r="AX77" s="142"/>
      <c r="AY77" s="142"/>
      <c r="AZ77" s="142"/>
      <c r="BA77" s="142"/>
      <c r="BB77" s="142"/>
      <c r="BC77" s="142"/>
      <c r="BD77" s="142"/>
      <c r="BE77" s="142"/>
      <c r="BF77" s="142"/>
      <c r="BG77" s="142"/>
      <c r="BH77" s="142"/>
      <c r="BI77" s="142"/>
      <c r="BJ77" s="142"/>
      <c r="BK77" s="142"/>
      <c r="BL77" s="142"/>
      <c r="BM77" s="142"/>
      <c r="BN77" s="142"/>
      <c r="BO77" s="142"/>
      <c r="BP77" s="142"/>
      <c r="BQ77" s="142"/>
      <c r="BR77" s="142"/>
      <c r="BS77" s="142"/>
      <c r="BT77" s="142"/>
      <c r="BU77" s="142"/>
      <c r="BV77" s="142"/>
      <c r="BW77" s="142"/>
      <c r="BX77" s="142"/>
      <c r="BY77" s="142"/>
      <c r="BZ77" s="142"/>
      <c r="CA77" s="142"/>
      <c r="CB77" s="142"/>
      <c r="CC77" s="142"/>
      <c r="CD77" s="142"/>
      <c r="CE77" s="142"/>
      <c r="CF77" s="142"/>
      <c r="CG77" s="142"/>
      <c r="CH77" s="142"/>
      <c r="CI77" s="142"/>
      <c r="CJ77" s="142"/>
      <c r="CK77" s="142"/>
      <c r="CL77" s="142"/>
      <c r="CM77" s="142"/>
      <c r="CN77" s="142"/>
      <c r="CO77" s="142"/>
      <c r="CP77" s="142"/>
      <c r="CQ77" s="142"/>
      <c r="CR77" s="142"/>
      <c r="CS77" s="142"/>
      <c r="CT77" s="142"/>
      <c r="CU77" s="142"/>
      <c r="CV77" s="142"/>
      <c r="CW77" s="142"/>
      <c r="CX77" s="142"/>
      <c r="CY77" s="142"/>
      <c r="CZ77" s="142"/>
      <c r="DA77" s="142"/>
      <c r="DB77" s="142"/>
      <c r="DC77" s="142"/>
      <c r="DD77" s="142"/>
      <c r="DE77" s="142"/>
      <c r="DF77" s="142"/>
      <c r="DG77" s="142"/>
      <c r="DH77" s="142"/>
      <c r="DI77" s="142"/>
      <c r="DJ77" s="142"/>
      <c r="DK77" s="142"/>
      <c r="DL77" s="142"/>
      <c r="DM77" s="142"/>
      <c r="DN77" s="142"/>
      <c r="DO77" s="142"/>
      <c r="DP77" s="142"/>
      <c r="DQ77" s="142"/>
      <c r="DR77" s="142"/>
      <c r="DS77" s="142"/>
      <c r="DT77" s="142"/>
      <c r="DU77" s="142"/>
      <c r="DV77" s="142"/>
      <c r="DW77" s="142"/>
      <c r="DX77" s="142"/>
      <c r="DY77" s="142"/>
      <c r="DZ77" s="142"/>
      <c r="EA77" s="142"/>
      <c r="EB77" s="142"/>
      <c r="EC77" s="142"/>
      <c r="ED77" s="142"/>
      <c r="EE77" s="142"/>
      <c r="EF77" s="142"/>
      <c r="EG77" s="142"/>
      <c r="EH77" s="142"/>
      <c r="EI77" s="142"/>
      <c r="EJ77" s="142"/>
      <c r="EK77" s="142"/>
      <c r="EL77" s="142"/>
      <c r="EM77" s="142"/>
      <c r="EN77" s="142"/>
      <c r="EO77" s="142"/>
      <c r="EP77" s="142"/>
      <c r="EQ77" s="142"/>
      <c r="ER77" s="142"/>
      <c r="ES77" s="142"/>
      <c r="ET77" s="142"/>
      <c r="EU77" s="142"/>
      <c r="EV77" s="142"/>
      <c r="EW77" s="142"/>
    </row>
    <row r="78" spans="1:153" s="143" customFormat="1" ht="27" customHeight="1">
      <c r="A78" s="3223" t="s">
        <v>583</v>
      </c>
      <c r="B78" s="380">
        <f>세입예산총괄표3!B63</f>
        <v>376324000</v>
      </c>
      <c r="C78" s="381">
        <f t="shared" si="47"/>
        <v>4.3196909213188001E-2</v>
      </c>
      <c r="D78" s="380">
        <v>104400000</v>
      </c>
      <c r="E78" s="381">
        <f t="shared" si="48"/>
        <v>1.0212906825127155E-2</v>
      </c>
      <c r="F78" s="382">
        <f t="shared" si="49"/>
        <v>271924000</v>
      </c>
      <c r="G78" s="3224">
        <f t="shared" si="50"/>
        <v>2.6046360153256707</v>
      </c>
      <c r="H78" s="3225" t="s">
        <v>803</v>
      </c>
      <c r="I78" s="3129">
        <f>세출예산총괄표4!B79</f>
        <v>18240000</v>
      </c>
      <c r="J78" s="3183">
        <f t="shared" si="44"/>
        <v>2.0937054879533305E-3</v>
      </c>
      <c r="K78" s="3129">
        <v>18000000</v>
      </c>
      <c r="L78" s="3183">
        <f t="shared" si="45"/>
        <v>1.7608459698813948E-3</v>
      </c>
      <c r="M78" s="3131">
        <f t="shared" si="46"/>
        <v>240000</v>
      </c>
      <c r="N78" s="3132">
        <f t="shared" si="43"/>
        <v>1.3333333333333334E-2</v>
      </c>
      <c r="O78" s="144"/>
      <c r="P78" s="142"/>
      <c r="Q78" s="142"/>
      <c r="R78" s="142"/>
      <c r="S78" s="142"/>
      <c r="T78" s="142"/>
      <c r="U78" s="142"/>
      <c r="V78" s="142"/>
      <c r="W78" s="142"/>
      <c r="X78" s="142"/>
      <c r="Y78" s="142"/>
      <c r="Z78" s="142"/>
      <c r="AA78" s="142"/>
      <c r="AB78" s="142"/>
      <c r="AC78" s="142"/>
      <c r="AD78" s="142"/>
      <c r="AE78" s="142"/>
      <c r="AF78" s="142"/>
      <c r="AG78" s="142"/>
      <c r="AH78" s="142"/>
      <c r="AI78" s="142"/>
      <c r="AJ78" s="142"/>
      <c r="AK78" s="142"/>
      <c r="AL78" s="142"/>
      <c r="AM78" s="142"/>
      <c r="AN78" s="142"/>
      <c r="AO78" s="142"/>
      <c r="AP78" s="142"/>
      <c r="AQ78" s="142"/>
      <c r="AR78" s="142"/>
      <c r="AS78" s="142"/>
      <c r="AT78" s="142"/>
      <c r="AU78" s="142"/>
      <c r="AV78" s="142"/>
      <c r="AW78" s="142"/>
      <c r="AX78" s="142"/>
      <c r="AY78" s="142"/>
      <c r="AZ78" s="142"/>
      <c r="BA78" s="142"/>
      <c r="BB78" s="142"/>
      <c r="BC78" s="142"/>
      <c r="BD78" s="142"/>
      <c r="BE78" s="142"/>
      <c r="BF78" s="142"/>
      <c r="BG78" s="142"/>
      <c r="BH78" s="142"/>
      <c r="BI78" s="142"/>
      <c r="BJ78" s="142"/>
      <c r="BK78" s="142"/>
      <c r="BL78" s="142"/>
      <c r="BM78" s="142"/>
      <c r="BN78" s="142"/>
      <c r="BO78" s="142"/>
      <c r="BP78" s="142"/>
      <c r="BQ78" s="142"/>
      <c r="BR78" s="142"/>
      <c r="BS78" s="142"/>
      <c r="BT78" s="142"/>
      <c r="BU78" s="142"/>
      <c r="BV78" s="142"/>
      <c r="BW78" s="142"/>
      <c r="BX78" s="142"/>
      <c r="BY78" s="142"/>
      <c r="BZ78" s="142"/>
      <c r="CA78" s="142"/>
      <c r="CB78" s="142"/>
      <c r="CC78" s="142"/>
      <c r="CD78" s="142"/>
      <c r="CE78" s="142"/>
      <c r="CF78" s="142"/>
      <c r="CG78" s="142"/>
      <c r="CH78" s="142"/>
      <c r="CI78" s="142"/>
      <c r="CJ78" s="142"/>
      <c r="CK78" s="142"/>
      <c r="CL78" s="142"/>
      <c r="CM78" s="142"/>
      <c r="CN78" s="142"/>
      <c r="CO78" s="142"/>
      <c r="CP78" s="142"/>
      <c r="CQ78" s="142"/>
      <c r="CR78" s="142"/>
      <c r="CS78" s="142"/>
      <c r="CT78" s="142"/>
      <c r="CU78" s="142"/>
      <c r="CV78" s="142"/>
      <c r="CW78" s="142"/>
      <c r="CX78" s="142"/>
      <c r="CY78" s="142"/>
      <c r="CZ78" s="142"/>
      <c r="DA78" s="142"/>
      <c r="DB78" s="142"/>
      <c r="DC78" s="142"/>
      <c r="DD78" s="142"/>
      <c r="DE78" s="142"/>
      <c r="DF78" s="142"/>
      <c r="DG78" s="142"/>
      <c r="DH78" s="142"/>
      <c r="DI78" s="142"/>
      <c r="DJ78" s="142"/>
      <c r="DK78" s="142"/>
      <c r="DL78" s="142"/>
      <c r="DM78" s="142"/>
      <c r="DN78" s="142"/>
      <c r="DO78" s="142"/>
      <c r="DP78" s="142"/>
      <c r="DQ78" s="142"/>
      <c r="DR78" s="142"/>
      <c r="DS78" s="142"/>
      <c r="DT78" s="142"/>
      <c r="DU78" s="142"/>
      <c r="DV78" s="142"/>
      <c r="DW78" s="142"/>
      <c r="DX78" s="142"/>
      <c r="DY78" s="142"/>
      <c r="DZ78" s="142"/>
      <c r="EA78" s="142"/>
      <c r="EB78" s="142"/>
      <c r="EC78" s="142"/>
      <c r="ED78" s="142"/>
      <c r="EE78" s="142"/>
      <c r="EF78" s="142"/>
      <c r="EG78" s="142"/>
      <c r="EH78" s="142"/>
      <c r="EI78" s="142"/>
      <c r="EJ78" s="142"/>
      <c r="EK78" s="142"/>
      <c r="EL78" s="142"/>
      <c r="EM78" s="142"/>
      <c r="EN78" s="142"/>
      <c r="EO78" s="142"/>
      <c r="EP78" s="142"/>
      <c r="EQ78" s="142"/>
      <c r="ER78" s="142"/>
      <c r="ES78" s="142"/>
      <c r="ET78" s="142"/>
      <c r="EU78" s="142"/>
      <c r="EV78" s="142"/>
      <c r="EW78" s="142"/>
    </row>
    <row r="79" spans="1:153" s="143" customFormat="1" ht="27" customHeight="1">
      <c r="A79" s="3223" t="s">
        <v>585</v>
      </c>
      <c r="B79" s="380">
        <f>세입예산총괄표3!B64</f>
        <v>650000000</v>
      </c>
      <c r="C79" s="381">
        <f t="shared" si="47"/>
        <v>7.4611215305354431E-2</v>
      </c>
      <c r="D79" s="380">
        <v>736180000</v>
      </c>
      <c r="E79" s="381">
        <f t="shared" si="48"/>
        <v>7.2016645081629402E-2</v>
      </c>
      <c r="F79" s="382">
        <f t="shared" si="49"/>
        <v>-86180000</v>
      </c>
      <c r="G79" s="3224">
        <f t="shared" si="50"/>
        <v>-0.11706376158004836</v>
      </c>
      <c r="H79" s="3226" t="s">
        <v>499</v>
      </c>
      <c r="I79" s="3144">
        <f>세출예산총괄표4!B80</f>
        <v>3600000</v>
      </c>
      <c r="J79" s="3189">
        <f t="shared" si="44"/>
        <v>4.1323134630657843E-4</v>
      </c>
      <c r="K79" s="3144">
        <v>8000000</v>
      </c>
      <c r="L79" s="3189">
        <f t="shared" si="45"/>
        <v>7.8259820883617548E-4</v>
      </c>
      <c r="M79" s="3145">
        <f t="shared" si="46"/>
        <v>-4400000</v>
      </c>
      <c r="N79" s="3135">
        <f t="shared" si="43"/>
        <v>-0.55000000000000004</v>
      </c>
      <c r="O79" s="144"/>
      <c r="P79" s="142"/>
      <c r="Q79" s="142"/>
      <c r="R79" s="142"/>
      <c r="S79" s="142"/>
      <c r="T79" s="142"/>
      <c r="U79" s="142"/>
      <c r="V79" s="142"/>
      <c r="W79" s="142"/>
      <c r="X79" s="142"/>
      <c r="Y79" s="142"/>
      <c r="Z79" s="142"/>
      <c r="AA79" s="142"/>
      <c r="AB79" s="142"/>
      <c r="AC79" s="142"/>
      <c r="AD79" s="142"/>
      <c r="AE79" s="142"/>
      <c r="AF79" s="142"/>
      <c r="AG79" s="142"/>
      <c r="AH79" s="142"/>
      <c r="AI79" s="142"/>
      <c r="AJ79" s="142"/>
      <c r="AK79" s="142"/>
      <c r="AL79" s="142"/>
      <c r="AM79" s="142"/>
      <c r="AN79" s="142"/>
      <c r="AO79" s="142"/>
      <c r="AP79" s="142"/>
      <c r="AQ79" s="142"/>
      <c r="AR79" s="142"/>
      <c r="AS79" s="142"/>
      <c r="AT79" s="142"/>
      <c r="AU79" s="142"/>
      <c r="AV79" s="142"/>
      <c r="AW79" s="142"/>
      <c r="AX79" s="142"/>
      <c r="AY79" s="142"/>
      <c r="AZ79" s="142"/>
      <c r="BA79" s="142"/>
      <c r="BB79" s="142"/>
      <c r="BC79" s="142"/>
      <c r="BD79" s="142"/>
      <c r="BE79" s="142"/>
      <c r="BF79" s="142"/>
      <c r="BG79" s="142"/>
      <c r="BH79" s="142"/>
      <c r="BI79" s="142"/>
      <c r="BJ79" s="142"/>
      <c r="BK79" s="142"/>
      <c r="BL79" s="142"/>
      <c r="BM79" s="142"/>
      <c r="BN79" s="142"/>
      <c r="BO79" s="142"/>
      <c r="BP79" s="142"/>
      <c r="BQ79" s="142"/>
      <c r="BR79" s="142"/>
      <c r="BS79" s="142"/>
      <c r="BT79" s="142"/>
      <c r="BU79" s="142"/>
      <c r="BV79" s="142"/>
      <c r="BW79" s="142"/>
      <c r="BX79" s="142"/>
      <c r="BY79" s="142"/>
      <c r="BZ79" s="142"/>
      <c r="CA79" s="142"/>
      <c r="CB79" s="142"/>
      <c r="CC79" s="142"/>
      <c r="CD79" s="142"/>
      <c r="CE79" s="142"/>
      <c r="CF79" s="142"/>
      <c r="CG79" s="142"/>
      <c r="CH79" s="142"/>
      <c r="CI79" s="142"/>
      <c r="CJ79" s="142"/>
      <c r="CK79" s="142"/>
      <c r="CL79" s="142"/>
      <c r="CM79" s="142"/>
      <c r="CN79" s="142"/>
      <c r="CO79" s="142"/>
      <c r="CP79" s="142"/>
      <c r="CQ79" s="142"/>
      <c r="CR79" s="142"/>
      <c r="CS79" s="142"/>
      <c r="CT79" s="142"/>
      <c r="CU79" s="142"/>
      <c r="CV79" s="142"/>
      <c r="CW79" s="142"/>
      <c r="CX79" s="142"/>
      <c r="CY79" s="142"/>
      <c r="CZ79" s="142"/>
      <c r="DA79" s="142"/>
      <c r="DB79" s="142"/>
      <c r="DC79" s="142"/>
      <c r="DD79" s="142"/>
      <c r="DE79" s="142"/>
      <c r="DF79" s="142"/>
      <c r="DG79" s="142"/>
      <c r="DH79" s="142"/>
      <c r="DI79" s="142"/>
      <c r="DJ79" s="142"/>
      <c r="DK79" s="142"/>
      <c r="DL79" s="142"/>
      <c r="DM79" s="142"/>
      <c r="DN79" s="142"/>
      <c r="DO79" s="142"/>
      <c r="DP79" s="142"/>
      <c r="DQ79" s="142"/>
      <c r="DR79" s="142"/>
      <c r="DS79" s="142"/>
      <c r="DT79" s="142"/>
      <c r="DU79" s="142"/>
      <c r="DV79" s="142"/>
      <c r="DW79" s="142"/>
      <c r="DX79" s="142"/>
      <c r="DY79" s="142"/>
      <c r="DZ79" s="142"/>
      <c r="EA79" s="142"/>
      <c r="EB79" s="142"/>
      <c r="EC79" s="142"/>
      <c r="ED79" s="142"/>
      <c r="EE79" s="142"/>
      <c r="EF79" s="142"/>
      <c r="EG79" s="142"/>
      <c r="EH79" s="142"/>
      <c r="EI79" s="142"/>
      <c r="EJ79" s="142"/>
      <c r="EK79" s="142"/>
      <c r="EL79" s="142"/>
      <c r="EM79" s="142"/>
      <c r="EN79" s="142"/>
      <c r="EO79" s="142"/>
      <c r="EP79" s="142"/>
      <c r="EQ79" s="142"/>
      <c r="ER79" s="142"/>
      <c r="ES79" s="142"/>
      <c r="ET79" s="142"/>
      <c r="EU79" s="142"/>
      <c r="EV79" s="142"/>
      <c r="EW79" s="142"/>
    </row>
    <row r="80" spans="1:153" s="143" customFormat="1" ht="27" customHeight="1">
      <c r="A80" s="3223" t="s">
        <v>438</v>
      </c>
      <c r="B80" s="380">
        <f>세입예산총괄표3!B65</f>
        <v>40483000</v>
      </c>
      <c r="C80" s="381">
        <f t="shared" si="47"/>
        <v>4.646901275702559E-3</v>
      </c>
      <c r="D80" s="380">
        <v>20160000</v>
      </c>
      <c r="E80" s="381">
        <f t="shared" si="48"/>
        <v>1.9721475248521401E-3</v>
      </c>
      <c r="F80" s="382">
        <f t="shared" si="49"/>
        <v>20323000</v>
      </c>
      <c r="G80" s="3224">
        <f t="shared" si="50"/>
        <v>1.0080853174603175</v>
      </c>
      <c r="H80" s="3172" t="s">
        <v>804</v>
      </c>
      <c r="I80" s="279">
        <f>SUM(I81:I91)</f>
        <v>326823000</v>
      </c>
      <c r="J80" s="367">
        <f>I80/$I$6</f>
        <v>3.7514863414987464E-2</v>
      </c>
      <c r="K80" s="279">
        <f>SUM(K81:K91)</f>
        <v>342083000</v>
      </c>
      <c r="L80" s="280">
        <f>K80/$K$6</f>
        <v>3.3464192884163177E-2</v>
      </c>
      <c r="M80" s="281">
        <f>SUM(M81:M91)</f>
        <v>-15260000</v>
      </c>
      <c r="N80" s="282">
        <f t="shared" si="43"/>
        <v>-4.4609056866316069E-2</v>
      </c>
      <c r="O80" s="144"/>
      <c r="P80" s="142"/>
      <c r="Q80" s="142"/>
      <c r="R80" s="142"/>
      <c r="S80" s="142"/>
      <c r="T80" s="142"/>
      <c r="U80" s="142"/>
      <c r="V80" s="142"/>
      <c r="W80" s="142"/>
      <c r="X80" s="142"/>
      <c r="Y80" s="142"/>
      <c r="Z80" s="142"/>
      <c r="AA80" s="142"/>
      <c r="AB80" s="142"/>
      <c r="AC80" s="142"/>
      <c r="AD80" s="142"/>
      <c r="AE80" s="142"/>
      <c r="AF80" s="142"/>
      <c r="AG80" s="142"/>
      <c r="AH80" s="142"/>
      <c r="AI80" s="142"/>
      <c r="AJ80" s="142"/>
      <c r="AK80" s="142"/>
      <c r="AL80" s="142"/>
      <c r="AM80" s="142"/>
      <c r="AN80" s="142"/>
      <c r="AO80" s="142"/>
      <c r="AP80" s="142"/>
      <c r="AQ80" s="142"/>
      <c r="AR80" s="142"/>
      <c r="AS80" s="142"/>
      <c r="AT80" s="142"/>
      <c r="AU80" s="142"/>
      <c r="AV80" s="142"/>
      <c r="AW80" s="142"/>
      <c r="AX80" s="142"/>
      <c r="AY80" s="142"/>
      <c r="AZ80" s="142"/>
      <c r="BA80" s="142"/>
      <c r="BB80" s="142"/>
      <c r="BC80" s="142"/>
      <c r="BD80" s="142"/>
      <c r="BE80" s="142"/>
      <c r="BF80" s="142"/>
      <c r="BG80" s="142"/>
      <c r="BH80" s="142"/>
      <c r="BI80" s="142"/>
      <c r="BJ80" s="142"/>
      <c r="BK80" s="142"/>
      <c r="BL80" s="142"/>
      <c r="BM80" s="142"/>
      <c r="BN80" s="142"/>
      <c r="BO80" s="142"/>
      <c r="BP80" s="142"/>
      <c r="BQ80" s="142"/>
      <c r="BR80" s="142"/>
      <c r="BS80" s="142"/>
      <c r="BT80" s="142"/>
      <c r="BU80" s="142"/>
      <c r="BV80" s="142"/>
      <c r="BW80" s="142"/>
      <c r="BX80" s="142"/>
      <c r="BY80" s="142"/>
      <c r="BZ80" s="142"/>
      <c r="CA80" s="142"/>
      <c r="CB80" s="142"/>
      <c r="CC80" s="142"/>
      <c r="CD80" s="142"/>
      <c r="CE80" s="142"/>
      <c r="CF80" s="142"/>
      <c r="CG80" s="142"/>
      <c r="CH80" s="142"/>
      <c r="CI80" s="142"/>
      <c r="CJ80" s="142"/>
      <c r="CK80" s="142"/>
      <c r="CL80" s="142"/>
      <c r="CM80" s="142"/>
      <c r="CN80" s="142"/>
      <c r="CO80" s="142"/>
      <c r="CP80" s="142"/>
      <c r="CQ80" s="142"/>
      <c r="CR80" s="142"/>
      <c r="CS80" s="142"/>
      <c r="CT80" s="142"/>
      <c r="CU80" s="142"/>
      <c r="CV80" s="142"/>
      <c r="CW80" s="142"/>
      <c r="CX80" s="142"/>
      <c r="CY80" s="142"/>
      <c r="CZ80" s="142"/>
      <c r="DA80" s="142"/>
      <c r="DB80" s="142"/>
      <c r="DC80" s="142"/>
      <c r="DD80" s="142"/>
      <c r="DE80" s="142"/>
      <c r="DF80" s="142"/>
      <c r="DG80" s="142"/>
      <c r="DH80" s="142"/>
      <c r="DI80" s="142"/>
      <c r="DJ80" s="142"/>
      <c r="DK80" s="142"/>
      <c r="DL80" s="142"/>
      <c r="DM80" s="142"/>
      <c r="DN80" s="142"/>
      <c r="DO80" s="142"/>
      <c r="DP80" s="142"/>
      <c r="DQ80" s="142"/>
      <c r="DR80" s="142"/>
      <c r="DS80" s="142"/>
      <c r="DT80" s="142"/>
      <c r="DU80" s="142"/>
      <c r="DV80" s="142"/>
      <c r="DW80" s="142"/>
      <c r="DX80" s="142"/>
      <c r="DY80" s="142"/>
      <c r="DZ80" s="142"/>
      <c r="EA80" s="142"/>
      <c r="EB80" s="142"/>
      <c r="EC80" s="142"/>
      <c r="ED80" s="142"/>
      <c r="EE80" s="142"/>
      <c r="EF80" s="142"/>
      <c r="EG80" s="142"/>
      <c r="EH80" s="142"/>
      <c r="EI80" s="142"/>
      <c r="EJ80" s="142"/>
      <c r="EK80" s="142"/>
      <c r="EL80" s="142"/>
      <c r="EM80" s="142"/>
      <c r="EN80" s="142"/>
      <c r="EO80" s="142"/>
      <c r="EP80" s="142"/>
      <c r="EQ80" s="142"/>
      <c r="ER80" s="142"/>
      <c r="ES80" s="142"/>
      <c r="ET80" s="142"/>
      <c r="EU80" s="142"/>
      <c r="EV80" s="142"/>
      <c r="EW80" s="142"/>
    </row>
    <row r="81" spans="1:153" s="143" customFormat="1" ht="27" customHeight="1">
      <c r="A81" s="3227" t="s">
        <v>587</v>
      </c>
      <c r="B81" s="384">
        <f>세입예산총괄표3!B66</f>
        <v>1320000</v>
      </c>
      <c r="C81" s="385">
        <f t="shared" si="47"/>
        <v>1.5151816031241209E-4</v>
      </c>
      <c r="D81" s="384">
        <v>1620000</v>
      </c>
      <c r="E81" s="385">
        <f t="shared" si="48"/>
        <v>1.5847614038990413E-4</v>
      </c>
      <c r="F81" s="386">
        <f t="shared" si="49"/>
        <v>-300000</v>
      </c>
      <c r="G81" s="3228">
        <f>F81/D81</f>
        <v>-0.18518518518518517</v>
      </c>
      <c r="H81" s="3229" t="s">
        <v>148</v>
      </c>
      <c r="I81" s="3230">
        <f>세출예산총괄표4!B82</f>
        <v>67498000</v>
      </c>
      <c r="J81" s="3231">
        <f t="shared" si="44"/>
        <v>7.7478581702781751E-3</v>
      </c>
      <c r="K81" s="3230">
        <v>77437000</v>
      </c>
      <c r="L81" s="3231">
        <f t="shared" si="45"/>
        <v>7.5752571872058656E-3</v>
      </c>
      <c r="M81" s="3232">
        <f t="shared" ref="M81:M91" si="51">+I81-K81</f>
        <v>-9939000</v>
      </c>
      <c r="N81" s="3233">
        <f t="shared" si="43"/>
        <v>-0.12834949701047302</v>
      </c>
      <c r="O81" s="144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  <c r="AT81" s="142"/>
      <c r="AU81" s="142"/>
      <c r="AV81" s="142"/>
      <c r="AW81" s="142"/>
      <c r="AX81" s="142"/>
      <c r="AY81" s="142"/>
      <c r="AZ81" s="142"/>
      <c r="BA81" s="142"/>
      <c r="BB81" s="142"/>
      <c r="BC81" s="142"/>
      <c r="BD81" s="142"/>
      <c r="BE81" s="142"/>
      <c r="BF81" s="142"/>
      <c r="BG81" s="142"/>
      <c r="BH81" s="142"/>
      <c r="BI81" s="142"/>
      <c r="BJ81" s="142"/>
      <c r="BK81" s="142"/>
      <c r="BL81" s="142"/>
      <c r="BM81" s="142"/>
      <c r="BN81" s="142"/>
      <c r="BO81" s="142"/>
      <c r="BP81" s="142"/>
      <c r="BQ81" s="142"/>
      <c r="BR81" s="142"/>
      <c r="BS81" s="142"/>
      <c r="BT81" s="142"/>
      <c r="BU81" s="142"/>
      <c r="BV81" s="142"/>
      <c r="BW81" s="142"/>
      <c r="BX81" s="142"/>
      <c r="BY81" s="142"/>
      <c r="BZ81" s="142"/>
      <c r="CA81" s="142"/>
      <c r="CB81" s="142"/>
      <c r="CC81" s="142"/>
      <c r="CD81" s="142"/>
      <c r="CE81" s="142"/>
      <c r="CF81" s="142"/>
      <c r="CG81" s="142"/>
      <c r="CH81" s="142"/>
      <c r="CI81" s="142"/>
      <c r="CJ81" s="142"/>
      <c r="CK81" s="142"/>
      <c r="CL81" s="142"/>
      <c r="CM81" s="142"/>
      <c r="CN81" s="142"/>
      <c r="CO81" s="142"/>
      <c r="CP81" s="142"/>
      <c r="CQ81" s="142"/>
      <c r="CR81" s="142"/>
      <c r="CS81" s="142"/>
      <c r="CT81" s="142"/>
      <c r="CU81" s="142"/>
      <c r="CV81" s="142"/>
      <c r="CW81" s="142"/>
      <c r="CX81" s="142"/>
      <c r="CY81" s="142"/>
      <c r="CZ81" s="142"/>
      <c r="DA81" s="142"/>
      <c r="DB81" s="142"/>
      <c r="DC81" s="142"/>
      <c r="DD81" s="142"/>
      <c r="DE81" s="142"/>
      <c r="DF81" s="142"/>
      <c r="DG81" s="142"/>
      <c r="DH81" s="142"/>
      <c r="DI81" s="142"/>
      <c r="DJ81" s="142"/>
      <c r="DK81" s="142"/>
      <c r="DL81" s="142"/>
      <c r="DM81" s="142"/>
      <c r="DN81" s="142"/>
      <c r="DO81" s="142"/>
      <c r="DP81" s="142"/>
      <c r="DQ81" s="142"/>
      <c r="DR81" s="142"/>
      <c r="DS81" s="142"/>
      <c r="DT81" s="142"/>
      <c r="DU81" s="142"/>
      <c r="DV81" s="142"/>
      <c r="DW81" s="142"/>
      <c r="DX81" s="142"/>
      <c r="DY81" s="142"/>
      <c r="DZ81" s="142"/>
      <c r="EA81" s="142"/>
      <c r="EB81" s="142"/>
      <c r="EC81" s="142"/>
      <c r="ED81" s="142"/>
      <c r="EE81" s="142"/>
      <c r="EF81" s="142"/>
      <c r="EG81" s="142"/>
      <c r="EH81" s="142"/>
      <c r="EI81" s="142"/>
      <c r="EJ81" s="142"/>
      <c r="EK81" s="142"/>
      <c r="EL81" s="142"/>
      <c r="EM81" s="142"/>
      <c r="EN81" s="142"/>
      <c r="EO81" s="142"/>
      <c r="EP81" s="142"/>
      <c r="EQ81" s="142"/>
      <c r="ER81" s="142"/>
      <c r="ES81" s="142"/>
      <c r="ET81" s="142"/>
      <c r="EU81" s="142"/>
      <c r="EV81" s="142"/>
      <c r="EW81" s="142"/>
    </row>
    <row r="82" spans="1:153" s="143" customFormat="1" ht="27" customHeight="1">
      <c r="A82" s="3234" t="s">
        <v>711</v>
      </c>
      <c r="B82" s="3235">
        <f>SUM(B83:B88)</f>
        <v>28332000</v>
      </c>
      <c r="C82" s="3236">
        <f>B82/$B$6</f>
        <v>3.2521306954327719E-3</v>
      </c>
      <c r="D82" s="3235">
        <f>SUM(D83:D88)</f>
        <v>42498000</v>
      </c>
      <c r="E82" s="3237">
        <f>D82/$D$6</f>
        <v>4.1573574162284853E-3</v>
      </c>
      <c r="F82" s="3238">
        <f>B82-D82</f>
        <v>-14166000</v>
      </c>
      <c r="G82" s="3239">
        <f>F82/D82</f>
        <v>-0.33333333333333331</v>
      </c>
      <c r="H82" s="3225" t="s">
        <v>578</v>
      </c>
      <c r="I82" s="3129">
        <f>세출예산총괄표4!B83</f>
        <v>0</v>
      </c>
      <c r="J82" s="3183">
        <f t="shared" si="44"/>
        <v>0</v>
      </c>
      <c r="K82" s="3129">
        <v>1316000</v>
      </c>
      <c r="L82" s="3183">
        <f t="shared" si="45"/>
        <v>1.2873740535355088E-4</v>
      </c>
      <c r="M82" s="3131">
        <f t="shared" si="51"/>
        <v>-1316000</v>
      </c>
      <c r="N82" s="3132">
        <f t="shared" si="43"/>
        <v>-1</v>
      </c>
      <c r="O82" s="144"/>
      <c r="P82" s="142"/>
      <c r="Q82" s="142"/>
      <c r="R82" s="142"/>
      <c r="S82" s="142"/>
      <c r="T82" s="142"/>
      <c r="U82" s="142"/>
      <c r="V82" s="142"/>
      <c r="W82" s="142"/>
      <c r="X82" s="142"/>
      <c r="Y82" s="142"/>
      <c r="Z82" s="142"/>
      <c r="AA82" s="142"/>
      <c r="AB82" s="142"/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  <c r="AT82" s="142"/>
      <c r="AU82" s="142"/>
      <c r="AV82" s="142"/>
      <c r="AW82" s="142"/>
      <c r="AX82" s="142"/>
      <c r="AY82" s="142"/>
      <c r="AZ82" s="142"/>
      <c r="BA82" s="142"/>
      <c r="BB82" s="142"/>
      <c r="BC82" s="142"/>
      <c r="BD82" s="142"/>
      <c r="BE82" s="142"/>
      <c r="BF82" s="142"/>
      <c r="BG82" s="142"/>
      <c r="BH82" s="142"/>
      <c r="BI82" s="142"/>
      <c r="BJ82" s="142"/>
      <c r="BK82" s="142"/>
      <c r="BL82" s="142"/>
      <c r="BM82" s="142"/>
      <c r="BN82" s="142"/>
      <c r="BO82" s="142"/>
      <c r="BP82" s="142"/>
      <c r="BQ82" s="142"/>
      <c r="BR82" s="142"/>
      <c r="BS82" s="142"/>
      <c r="BT82" s="142"/>
      <c r="BU82" s="142"/>
      <c r="BV82" s="142"/>
      <c r="BW82" s="142"/>
      <c r="BX82" s="142"/>
      <c r="BY82" s="142"/>
      <c r="BZ82" s="142"/>
      <c r="CA82" s="142"/>
      <c r="CB82" s="142"/>
      <c r="CC82" s="142"/>
      <c r="CD82" s="142"/>
      <c r="CE82" s="142"/>
      <c r="CF82" s="142"/>
      <c r="CG82" s="142"/>
      <c r="CH82" s="142"/>
      <c r="CI82" s="142"/>
      <c r="CJ82" s="142"/>
      <c r="CK82" s="142"/>
      <c r="CL82" s="142"/>
      <c r="CM82" s="142"/>
      <c r="CN82" s="142"/>
      <c r="CO82" s="142"/>
      <c r="CP82" s="142"/>
      <c r="CQ82" s="142"/>
      <c r="CR82" s="142"/>
      <c r="CS82" s="142"/>
      <c r="CT82" s="142"/>
      <c r="CU82" s="142"/>
      <c r="CV82" s="142"/>
      <c r="CW82" s="142"/>
      <c r="CX82" s="142"/>
      <c r="CY82" s="142"/>
      <c r="CZ82" s="142"/>
      <c r="DA82" s="142"/>
      <c r="DB82" s="142"/>
      <c r="DC82" s="142"/>
      <c r="DD82" s="142"/>
      <c r="DE82" s="142"/>
      <c r="DF82" s="142"/>
      <c r="DG82" s="142"/>
      <c r="DH82" s="142"/>
      <c r="DI82" s="142"/>
      <c r="DJ82" s="142"/>
      <c r="DK82" s="142"/>
      <c r="DL82" s="142"/>
      <c r="DM82" s="142"/>
      <c r="DN82" s="142"/>
      <c r="DO82" s="142"/>
      <c r="DP82" s="142"/>
      <c r="DQ82" s="142"/>
      <c r="DR82" s="142"/>
      <c r="DS82" s="142"/>
      <c r="DT82" s="142"/>
      <c r="DU82" s="142"/>
      <c r="DV82" s="142"/>
      <c r="DW82" s="142"/>
      <c r="DX82" s="142"/>
      <c r="DY82" s="142"/>
      <c r="DZ82" s="142"/>
      <c r="EA82" s="142"/>
      <c r="EB82" s="142"/>
      <c r="EC82" s="142"/>
      <c r="ED82" s="142"/>
      <c r="EE82" s="142"/>
      <c r="EF82" s="142"/>
      <c r="EG82" s="142"/>
      <c r="EH82" s="142"/>
      <c r="EI82" s="142"/>
      <c r="EJ82" s="142"/>
      <c r="EK82" s="142"/>
      <c r="EL82" s="142"/>
      <c r="EM82" s="142"/>
      <c r="EN82" s="142"/>
      <c r="EO82" s="142"/>
      <c r="EP82" s="142"/>
      <c r="EQ82" s="142"/>
      <c r="ER82" s="142"/>
      <c r="ES82" s="142"/>
      <c r="ET82" s="142"/>
      <c r="EU82" s="142"/>
      <c r="EV82" s="142"/>
      <c r="EW82" s="142"/>
    </row>
    <row r="83" spans="1:153" s="143" customFormat="1" ht="27" customHeight="1">
      <c r="A83" s="3548" t="s">
        <v>576</v>
      </c>
      <c r="B83" s="3549">
        <f>세입예산총괄표3!B68</f>
        <v>3500000</v>
      </c>
      <c r="C83" s="3550">
        <f t="shared" si="47"/>
        <v>4.0175269779806235E-4</v>
      </c>
      <c r="D83" s="3549">
        <v>3500000</v>
      </c>
      <c r="E83" s="3550">
        <f t="shared" si="48"/>
        <v>3.4238672306460767E-4</v>
      </c>
      <c r="F83" s="3551">
        <f>B83-D83</f>
        <v>0</v>
      </c>
      <c r="G83" s="3552">
        <f>F83/D83</f>
        <v>0</v>
      </c>
      <c r="H83" s="3226" t="s">
        <v>613</v>
      </c>
      <c r="I83" s="3144">
        <f>세출예산총괄표4!B84</f>
        <v>5802000</v>
      </c>
      <c r="J83" s="3189">
        <f t="shared" si="44"/>
        <v>6.6599118646410219E-4</v>
      </c>
      <c r="K83" s="3144">
        <v>16790000</v>
      </c>
      <c r="L83" s="3189">
        <f t="shared" si="45"/>
        <v>1.6424779907949234E-3</v>
      </c>
      <c r="M83" s="3145">
        <f>+I83-K83</f>
        <v>-10988000</v>
      </c>
      <c r="N83" s="3135">
        <f t="shared" si="43"/>
        <v>-0.65443716497915427</v>
      </c>
      <c r="O83" s="144"/>
      <c r="P83" s="142"/>
      <c r="Q83" s="142"/>
      <c r="R83" s="142"/>
      <c r="S83" s="142"/>
      <c r="T83" s="142"/>
      <c r="U83" s="142"/>
      <c r="V83" s="142"/>
      <c r="W83" s="142"/>
      <c r="X83" s="142"/>
      <c r="Y83" s="142"/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  <c r="AT83" s="142"/>
      <c r="AU83" s="142"/>
      <c r="AV83" s="142"/>
      <c r="AW83" s="142"/>
      <c r="AX83" s="142"/>
      <c r="AY83" s="142"/>
      <c r="AZ83" s="142"/>
      <c r="BA83" s="142"/>
      <c r="BB83" s="142"/>
      <c r="BC83" s="142"/>
      <c r="BD83" s="142"/>
      <c r="BE83" s="142"/>
      <c r="BF83" s="142"/>
      <c r="BG83" s="142"/>
      <c r="BH83" s="142"/>
      <c r="BI83" s="142"/>
      <c r="BJ83" s="142"/>
      <c r="BK83" s="142"/>
      <c r="BL83" s="142"/>
      <c r="BM83" s="142"/>
      <c r="BN83" s="142"/>
      <c r="BO83" s="142"/>
      <c r="BP83" s="142"/>
      <c r="BQ83" s="142"/>
      <c r="BR83" s="142"/>
      <c r="BS83" s="142"/>
      <c r="BT83" s="142"/>
      <c r="BU83" s="142"/>
      <c r="BV83" s="142"/>
      <c r="BW83" s="142"/>
      <c r="BX83" s="142"/>
      <c r="BY83" s="142"/>
      <c r="BZ83" s="142"/>
      <c r="CA83" s="142"/>
      <c r="CB83" s="142"/>
      <c r="CC83" s="142"/>
      <c r="CD83" s="142"/>
      <c r="CE83" s="142"/>
      <c r="CF83" s="142"/>
      <c r="CG83" s="142"/>
      <c r="CH83" s="142"/>
      <c r="CI83" s="142"/>
      <c r="CJ83" s="142"/>
      <c r="CK83" s="142"/>
      <c r="CL83" s="142"/>
      <c r="CM83" s="142"/>
      <c r="CN83" s="142"/>
      <c r="CO83" s="142"/>
      <c r="CP83" s="142"/>
      <c r="CQ83" s="142"/>
      <c r="CR83" s="142"/>
      <c r="CS83" s="142"/>
      <c r="CT83" s="142"/>
      <c r="CU83" s="142"/>
      <c r="CV83" s="142"/>
      <c r="CW83" s="142"/>
      <c r="CX83" s="142"/>
      <c r="CY83" s="142"/>
      <c r="CZ83" s="142"/>
      <c r="DA83" s="142"/>
      <c r="DB83" s="142"/>
      <c r="DC83" s="142"/>
      <c r="DD83" s="142"/>
      <c r="DE83" s="142"/>
      <c r="DF83" s="142"/>
      <c r="DG83" s="142"/>
      <c r="DH83" s="142"/>
      <c r="DI83" s="142"/>
      <c r="DJ83" s="142"/>
      <c r="DK83" s="142"/>
      <c r="DL83" s="142"/>
      <c r="DM83" s="142"/>
      <c r="DN83" s="142"/>
      <c r="DO83" s="142"/>
      <c r="DP83" s="142"/>
      <c r="DQ83" s="142"/>
      <c r="DR83" s="142"/>
      <c r="DS83" s="142"/>
      <c r="DT83" s="142"/>
      <c r="DU83" s="142"/>
      <c r="DV83" s="142"/>
      <c r="DW83" s="142"/>
      <c r="DX83" s="142"/>
      <c r="DY83" s="142"/>
      <c r="DZ83" s="142"/>
      <c r="EA83" s="142"/>
      <c r="EB83" s="142"/>
      <c r="EC83" s="142"/>
      <c r="ED83" s="142"/>
      <c r="EE83" s="142"/>
      <c r="EF83" s="142"/>
      <c r="EG83" s="142"/>
      <c r="EH83" s="142"/>
      <c r="EI83" s="142"/>
      <c r="EJ83" s="142"/>
      <c r="EK83" s="142"/>
      <c r="EL83" s="142"/>
      <c r="EM83" s="142"/>
      <c r="EN83" s="142"/>
      <c r="EO83" s="142"/>
      <c r="EP83" s="142"/>
      <c r="EQ83" s="142"/>
      <c r="ER83" s="142"/>
      <c r="ES83" s="142"/>
      <c r="ET83" s="142"/>
      <c r="EU83" s="142"/>
      <c r="EV83" s="142"/>
      <c r="EW83" s="142"/>
    </row>
    <row r="84" spans="1:153" s="143" customFormat="1" ht="27" customHeight="1">
      <c r="A84" s="3217" t="s">
        <v>580</v>
      </c>
      <c r="B84" s="3218">
        <f>세입예산총괄표3!B69</f>
        <v>2000000</v>
      </c>
      <c r="C84" s="3219">
        <f t="shared" si="47"/>
        <v>2.2957297017032132E-4</v>
      </c>
      <c r="D84" s="3218">
        <v>7440000</v>
      </c>
      <c r="E84" s="3219">
        <f t="shared" si="48"/>
        <v>7.2781634845733747E-4</v>
      </c>
      <c r="F84" s="3220">
        <f>B84-D84</f>
        <v>-5440000</v>
      </c>
      <c r="G84" s="3221">
        <f>F84/D84</f>
        <v>-0.73118279569892475</v>
      </c>
      <c r="H84" s="3205" t="s">
        <v>312</v>
      </c>
      <c r="I84" s="3139">
        <f>세출예산총괄표4!B85</f>
        <v>30496000</v>
      </c>
      <c r="J84" s="3177">
        <f t="shared" si="44"/>
        <v>3.5005286491570599E-3</v>
      </c>
      <c r="K84" s="3139">
        <v>34760000</v>
      </c>
      <c r="L84" s="3177">
        <f t="shared" si="45"/>
        <v>3.4003892173931826E-3</v>
      </c>
      <c r="M84" s="3141">
        <f t="shared" si="51"/>
        <v>-4264000</v>
      </c>
      <c r="N84" s="3142">
        <f t="shared" si="43"/>
        <v>-0.12266973532796317</v>
      </c>
      <c r="O84" s="144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  <c r="AT84" s="142"/>
      <c r="AU84" s="142"/>
      <c r="AV84" s="142"/>
      <c r="AW84" s="142"/>
      <c r="AX84" s="142"/>
      <c r="AY84" s="142"/>
      <c r="AZ84" s="142"/>
      <c r="BA84" s="142"/>
      <c r="BB84" s="142"/>
      <c r="BC84" s="142"/>
      <c r="BD84" s="142"/>
      <c r="BE84" s="142"/>
      <c r="BF84" s="142"/>
      <c r="BG84" s="142"/>
      <c r="BH84" s="142"/>
      <c r="BI84" s="142"/>
      <c r="BJ84" s="142"/>
      <c r="BK84" s="142"/>
      <c r="BL84" s="142"/>
      <c r="BM84" s="142"/>
      <c r="BN84" s="142"/>
      <c r="BO84" s="142"/>
      <c r="BP84" s="142"/>
      <c r="BQ84" s="142"/>
      <c r="BR84" s="142"/>
      <c r="BS84" s="142"/>
      <c r="BT84" s="142"/>
      <c r="BU84" s="142"/>
      <c r="BV84" s="142"/>
      <c r="BW84" s="142"/>
      <c r="BX84" s="142"/>
      <c r="BY84" s="142"/>
      <c r="BZ84" s="142"/>
      <c r="CA84" s="142"/>
      <c r="CB84" s="142"/>
      <c r="CC84" s="142"/>
      <c r="CD84" s="142"/>
      <c r="CE84" s="142"/>
      <c r="CF84" s="142"/>
      <c r="CG84" s="142"/>
      <c r="CH84" s="142"/>
      <c r="CI84" s="142"/>
      <c r="CJ84" s="142"/>
      <c r="CK84" s="142"/>
      <c r="CL84" s="142"/>
      <c r="CM84" s="142"/>
      <c r="CN84" s="142"/>
      <c r="CO84" s="142"/>
      <c r="CP84" s="142"/>
      <c r="CQ84" s="142"/>
      <c r="CR84" s="142"/>
      <c r="CS84" s="142"/>
      <c r="CT84" s="142"/>
      <c r="CU84" s="142"/>
      <c r="CV84" s="142"/>
      <c r="CW84" s="142"/>
      <c r="CX84" s="142"/>
      <c r="CY84" s="142"/>
      <c r="CZ84" s="142"/>
      <c r="DA84" s="142"/>
      <c r="DB84" s="142"/>
      <c r="DC84" s="142"/>
      <c r="DD84" s="142"/>
      <c r="DE84" s="142"/>
      <c r="DF84" s="142"/>
      <c r="DG84" s="142"/>
      <c r="DH84" s="142"/>
      <c r="DI84" s="142"/>
      <c r="DJ84" s="142"/>
      <c r="DK84" s="142"/>
      <c r="DL84" s="142"/>
      <c r="DM84" s="142"/>
      <c r="DN84" s="142"/>
      <c r="DO84" s="142"/>
      <c r="DP84" s="142"/>
      <c r="DQ84" s="142"/>
      <c r="DR84" s="142"/>
      <c r="DS84" s="142"/>
      <c r="DT84" s="142"/>
      <c r="DU84" s="142"/>
      <c r="DV84" s="142"/>
      <c r="DW84" s="142"/>
      <c r="DX84" s="142"/>
      <c r="DY84" s="142"/>
      <c r="DZ84" s="142"/>
      <c r="EA84" s="142"/>
      <c r="EB84" s="142"/>
      <c r="EC84" s="142"/>
      <c r="ED84" s="142"/>
      <c r="EE84" s="142"/>
      <c r="EF84" s="142"/>
      <c r="EG84" s="142"/>
      <c r="EH84" s="142"/>
      <c r="EI84" s="142"/>
      <c r="EJ84" s="142"/>
      <c r="EK84" s="142"/>
      <c r="EL84" s="142"/>
      <c r="EM84" s="142"/>
      <c r="EN84" s="142"/>
      <c r="EO84" s="142"/>
      <c r="EP84" s="142"/>
      <c r="EQ84" s="142"/>
      <c r="ER84" s="142"/>
      <c r="ES84" s="142"/>
      <c r="ET84" s="142"/>
      <c r="EU84" s="142"/>
      <c r="EV84" s="142"/>
      <c r="EW84" s="142"/>
    </row>
    <row r="85" spans="1:153" s="143" customFormat="1" ht="27" customHeight="1">
      <c r="A85" s="3240" t="s">
        <v>582</v>
      </c>
      <c r="B85" s="388">
        <f>세입예산총괄표3!B70</f>
        <v>1280000</v>
      </c>
      <c r="C85" s="389">
        <f t="shared" si="47"/>
        <v>1.4692670090900566E-4</v>
      </c>
      <c r="D85" s="388">
        <v>960000</v>
      </c>
      <c r="E85" s="389">
        <f t="shared" si="48"/>
        <v>9.3911786897720963E-5</v>
      </c>
      <c r="F85" s="390">
        <f t="shared" ref="F85:F88" si="52">B85-D85</f>
        <v>320000</v>
      </c>
      <c r="G85" s="3241">
        <f t="shared" ref="G85:G88" si="53">F85/D85</f>
        <v>0.33333333333333331</v>
      </c>
      <c r="H85" s="3242" t="s">
        <v>615</v>
      </c>
      <c r="I85" s="3136">
        <f>세출예산총괄표4!B86</f>
        <v>0</v>
      </c>
      <c r="J85" s="3202">
        <f t="shared" si="44"/>
        <v>0</v>
      </c>
      <c r="K85" s="3136">
        <v>1560000</v>
      </c>
      <c r="L85" s="3202">
        <f t="shared" si="45"/>
        <v>1.5260665072305423E-4</v>
      </c>
      <c r="M85" s="3137">
        <f t="shared" si="51"/>
        <v>-1560000</v>
      </c>
      <c r="N85" s="3138">
        <f t="shared" si="43"/>
        <v>-1</v>
      </c>
      <c r="O85" s="144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  <c r="AT85" s="142"/>
      <c r="AU85" s="142"/>
      <c r="AV85" s="142"/>
      <c r="AW85" s="142"/>
      <c r="AX85" s="142"/>
      <c r="AY85" s="142"/>
      <c r="AZ85" s="142"/>
      <c r="BA85" s="142"/>
      <c r="BB85" s="142"/>
      <c r="BC85" s="142"/>
      <c r="BD85" s="142"/>
      <c r="BE85" s="142"/>
      <c r="BF85" s="142"/>
      <c r="BG85" s="142"/>
      <c r="BH85" s="142"/>
      <c r="BI85" s="142"/>
      <c r="BJ85" s="142"/>
      <c r="BK85" s="142"/>
      <c r="BL85" s="142"/>
      <c r="BM85" s="142"/>
      <c r="BN85" s="142"/>
      <c r="BO85" s="142"/>
      <c r="BP85" s="142"/>
      <c r="BQ85" s="142"/>
      <c r="BR85" s="142"/>
      <c r="BS85" s="142"/>
      <c r="BT85" s="142"/>
      <c r="BU85" s="142"/>
      <c r="BV85" s="142"/>
      <c r="BW85" s="142"/>
      <c r="BX85" s="142"/>
      <c r="BY85" s="142"/>
      <c r="BZ85" s="142"/>
      <c r="CA85" s="142"/>
      <c r="CB85" s="142"/>
      <c r="CC85" s="142"/>
      <c r="CD85" s="142"/>
      <c r="CE85" s="142"/>
      <c r="CF85" s="142"/>
      <c r="CG85" s="142"/>
      <c r="CH85" s="142"/>
      <c r="CI85" s="142"/>
      <c r="CJ85" s="142"/>
      <c r="CK85" s="142"/>
      <c r="CL85" s="142"/>
      <c r="CM85" s="142"/>
      <c r="CN85" s="142"/>
      <c r="CO85" s="142"/>
      <c r="CP85" s="142"/>
      <c r="CQ85" s="142"/>
      <c r="CR85" s="142"/>
      <c r="CS85" s="142"/>
      <c r="CT85" s="142"/>
      <c r="CU85" s="142"/>
      <c r="CV85" s="142"/>
      <c r="CW85" s="142"/>
      <c r="CX85" s="142"/>
      <c r="CY85" s="142"/>
      <c r="CZ85" s="142"/>
      <c r="DA85" s="142"/>
      <c r="DB85" s="142"/>
      <c r="DC85" s="142"/>
      <c r="DD85" s="142"/>
      <c r="DE85" s="142"/>
      <c r="DF85" s="142"/>
      <c r="DG85" s="142"/>
      <c r="DH85" s="142"/>
      <c r="DI85" s="142"/>
      <c r="DJ85" s="142"/>
      <c r="DK85" s="142"/>
      <c r="DL85" s="142"/>
      <c r="DM85" s="142"/>
      <c r="DN85" s="142"/>
      <c r="DO85" s="142"/>
      <c r="DP85" s="142"/>
      <c r="DQ85" s="142"/>
      <c r="DR85" s="142"/>
      <c r="DS85" s="142"/>
      <c r="DT85" s="142"/>
      <c r="DU85" s="142"/>
      <c r="DV85" s="142"/>
      <c r="DW85" s="142"/>
      <c r="DX85" s="142"/>
      <c r="DY85" s="142"/>
      <c r="DZ85" s="142"/>
      <c r="EA85" s="142"/>
      <c r="EB85" s="142"/>
      <c r="EC85" s="142"/>
      <c r="ED85" s="142"/>
      <c r="EE85" s="142"/>
      <c r="EF85" s="142"/>
      <c r="EG85" s="142"/>
      <c r="EH85" s="142"/>
      <c r="EI85" s="142"/>
      <c r="EJ85" s="142"/>
      <c r="EK85" s="142"/>
      <c r="EL85" s="142"/>
      <c r="EM85" s="142"/>
      <c r="EN85" s="142"/>
      <c r="EO85" s="142"/>
      <c r="EP85" s="142"/>
      <c r="EQ85" s="142"/>
      <c r="ER85" s="142"/>
      <c r="ES85" s="142"/>
      <c r="ET85" s="142"/>
      <c r="EU85" s="142"/>
      <c r="EV85" s="142"/>
      <c r="EW85" s="142"/>
    </row>
    <row r="86" spans="1:153" s="143" customFormat="1" ht="27" customHeight="1">
      <c r="A86" s="3223" t="s">
        <v>583</v>
      </c>
      <c r="B86" s="380">
        <f>세입예산총괄표3!B71</f>
        <v>1232000</v>
      </c>
      <c r="C86" s="381">
        <f t="shared" si="47"/>
        <v>1.4141694962491793E-4</v>
      </c>
      <c r="D86" s="380">
        <v>1800000</v>
      </c>
      <c r="E86" s="381">
        <f t="shared" si="48"/>
        <v>1.7608460043322681E-4</v>
      </c>
      <c r="F86" s="382">
        <f t="shared" si="52"/>
        <v>-568000</v>
      </c>
      <c r="G86" s="3224">
        <f t="shared" si="53"/>
        <v>-0.31555555555555553</v>
      </c>
      <c r="H86" s="3180" t="s">
        <v>384</v>
      </c>
      <c r="I86" s="3129">
        <f>세출예산총괄표4!B87</f>
        <v>66588000</v>
      </c>
      <c r="J86" s="3183">
        <f t="shared" si="44"/>
        <v>7.6434024688506784E-3</v>
      </c>
      <c r="K86" s="3129">
        <v>15256000</v>
      </c>
      <c r="L86" s="3183">
        <f t="shared" si="45"/>
        <v>1.4924147842505866E-3</v>
      </c>
      <c r="M86" s="3131">
        <f t="shared" si="51"/>
        <v>51332000</v>
      </c>
      <c r="N86" s="3132">
        <f t="shared" si="43"/>
        <v>3.3647089669638177</v>
      </c>
      <c r="O86" s="144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  <c r="AT86" s="142"/>
      <c r="AU86" s="142"/>
      <c r="AV86" s="142"/>
      <c r="AW86" s="142"/>
      <c r="AX86" s="142"/>
      <c r="AY86" s="142"/>
      <c r="AZ86" s="142"/>
      <c r="BA86" s="142"/>
      <c r="BB86" s="142"/>
      <c r="BC86" s="142"/>
      <c r="BD86" s="142"/>
      <c r="BE86" s="142"/>
      <c r="BF86" s="142"/>
      <c r="BG86" s="142"/>
      <c r="BH86" s="142"/>
      <c r="BI86" s="142"/>
      <c r="BJ86" s="142"/>
      <c r="BK86" s="142"/>
      <c r="BL86" s="142"/>
      <c r="BM86" s="142"/>
      <c r="BN86" s="142"/>
      <c r="BO86" s="142"/>
      <c r="BP86" s="142"/>
      <c r="BQ86" s="142"/>
      <c r="BR86" s="142"/>
      <c r="BS86" s="142"/>
      <c r="BT86" s="142"/>
      <c r="BU86" s="142"/>
      <c r="BV86" s="142"/>
      <c r="BW86" s="142"/>
      <c r="BX86" s="142"/>
      <c r="BY86" s="142"/>
      <c r="BZ86" s="142"/>
      <c r="CA86" s="142"/>
      <c r="CB86" s="142"/>
      <c r="CC86" s="142"/>
      <c r="CD86" s="142"/>
      <c r="CE86" s="142"/>
      <c r="CF86" s="142"/>
      <c r="CG86" s="142"/>
      <c r="CH86" s="142"/>
      <c r="CI86" s="142"/>
      <c r="CJ86" s="142"/>
      <c r="CK86" s="142"/>
      <c r="CL86" s="142"/>
      <c r="CM86" s="142"/>
      <c r="CN86" s="142"/>
      <c r="CO86" s="142"/>
      <c r="CP86" s="142"/>
      <c r="CQ86" s="142"/>
      <c r="CR86" s="142"/>
      <c r="CS86" s="142"/>
      <c r="CT86" s="142"/>
      <c r="CU86" s="142"/>
      <c r="CV86" s="142"/>
      <c r="CW86" s="142"/>
      <c r="CX86" s="142"/>
      <c r="CY86" s="142"/>
      <c r="CZ86" s="142"/>
      <c r="DA86" s="142"/>
      <c r="DB86" s="142"/>
      <c r="DC86" s="142"/>
      <c r="DD86" s="142"/>
      <c r="DE86" s="142"/>
      <c r="DF86" s="142"/>
      <c r="DG86" s="142"/>
      <c r="DH86" s="142"/>
      <c r="DI86" s="142"/>
      <c r="DJ86" s="142"/>
      <c r="DK86" s="142"/>
      <c r="DL86" s="142"/>
      <c r="DM86" s="142"/>
      <c r="DN86" s="142"/>
      <c r="DO86" s="142"/>
      <c r="DP86" s="142"/>
      <c r="DQ86" s="142"/>
      <c r="DR86" s="142"/>
      <c r="DS86" s="142"/>
      <c r="DT86" s="142"/>
      <c r="DU86" s="142"/>
      <c r="DV86" s="142"/>
      <c r="DW86" s="142"/>
      <c r="DX86" s="142"/>
      <c r="DY86" s="142"/>
      <c r="DZ86" s="142"/>
      <c r="EA86" s="142"/>
      <c r="EB86" s="142"/>
      <c r="EC86" s="142"/>
      <c r="ED86" s="142"/>
      <c r="EE86" s="142"/>
      <c r="EF86" s="142"/>
      <c r="EG86" s="142"/>
      <c r="EH86" s="142"/>
      <c r="EI86" s="142"/>
      <c r="EJ86" s="142"/>
      <c r="EK86" s="142"/>
      <c r="EL86" s="142"/>
      <c r="EM86" s="142"/>
      <c r="EN86" s="142"/>
      <c r="EO86" s="142"/>
      <c r="EP86" s="142"/>
      <c r="EQ86" s="142"/>
      <c r="ER86" s="142"/>
      <c r="ES86" s="142"/>
      <c r="ET86" s="142"/>
      <c r="EU86" s="142"/>
      <c r="EV86" s="142"/>
      <c r="EW86" s="142"/>
    </row>
    <row r="87" spans="1:153" s="143" customFormat="1" ht="27" customHeight="1">
      <c r="A87" s="3223" t="s">
        <v>585</v>
      </c>
      <c r="B87" s="380">
        <f>세입예산총괄표3!B72</f>
        <v>19960000</v>
      </c>
      <c r="C87" s="381">
        <f t="shared" si="47"/>
        <v>2.2911382422998068E-3</v>
      </c>
      <c r="D87" s="380">
        <v>28438000</v>
      </c>
      <c r="E87" s="381">
        <f t="shared" si="48"/>
        <v>2.7819410372889467E-3</v>
      </c>
      <c r="F87" s="382">
        <f t="shared" si="52"/>
        <v>-8478000</v>
      </c>
      <c r="G87" s="3224">
        <f t="shared" si="53"/>
        <v>-0.29812223081791966</v>
      </c>
      <c r="H87" s="3225" t="s">
        <v>805</v>
      </c>
      <c r="I87" s="3129">
        <f>세출예산총괄표4!B88</f>
        <v>153664000</v>
      </c>
      <c r="J87" s="3183">
        <f t="shared" si="44"/>
        <v>1.7638550444126128E-2</v>
      </c>
      <c r="K87" s="3129">
        <v>167944000</v>
      </c>
      <c r="L87" s="3183">
        <f t="shared" si="45"/>
        <v>1.6429084198097833E-2</v>
      </c>
      <c r="M87" s="3131">
        <f t="shared" si="51"/>
        <v>-14280000</v>
      </c>
      <c r="N87" s="3132">
        <f t="shared" si="43"/>
        <v>-8.5028342780926969E-2</v>
      </c>
      <c r="O87" s="144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  <c r="AT87" s="142"/>
      <c r="AU87" s="142"/>
      <c r="AV87" s="142"/>
      <c r="AW87" s="142"/>
      <c r="AX87" s="142"/>
      <c r="AY87" s="142"/>
      <c r="AZ87" s="142"/>
      <c r="BA87" s="142"/>
      <c r="BB87" s="142"/>
      <c r="BC87" s="142"/>
      <c r="BD87" s="142"/>
      <c r="BE87" s="142"/>
      <c r="BF87" s="142"/>
      <c r="BG87" s="142"/>
      <c r="BH87" s="142"/>
      <c r="BI87" s="142"/>
      <c r="BJ87" s="142"/>
      <c r="BK87" s="142"/>
      <c r="BL87" s="142"/>
      <c r="BM87" s="142"/>
      <c r="BN87" s="142"/>
      <c r="BO87" s="142"/>
      <c r="BP87" s="142"/>
      <c r="BQ87" s="142"/>
      <c r="BR87" s="142"/>
      <c r="BS87" s="142"/>
      <c r="BT87" s="142"/>
      <c r="BU87" s="142"/>
      <c r="BV87" s="142"/>
      <c r="BW87" s="142"/>
      <c r="BX87" s="142"/>
      <c r="BY87" s="142"/>
      <c r="BZ87" s="142"/>
      <c r="CA87" s="142"/>
      <c r="CB87" s="142"/>
      <c r="CC87" s="142"/>
      <c r="CD87" s="142"/>
      <c r="CE87" s="142"/>
      <c r="CF87" s="142"/>
      <c r="CG87" s="142"/>
      <c r="CH87" s="142"/>
      <c r="CI87" s="142"/>
      <c r="CJ87" s="142"/>
      <c r="CK87" s="142"/>
      <c r="CL87" s="142"/>
      <c r="CM87" s="142"/>
      <c r="CN87" s="142"/>
      <c r="CO87" s="142"/>
      <c r="CP87" s="142"/>
      <c r="CQ87" s="142"/>
      <c r="CR87" s="142"/>
      <c r="CS87" s="142"/>
      <c r="CT87" s="142"/>
      <c r="CU87" s="142"/>
      <c r="CV87" s="142"/>
      <c r="CW87" s="142"/>
      <c r="CX87" s="142"/>
      <c r="CY87" s="142"/>
      <c r="CZ87" s="142"/>
      <c r="DA87" s="142"/>
      <c r="DB87" s="142"/>
      <c r="DC87" s="142"/>
      <c r="DD87" s="142"/>
      <c r="DE87" s="142"/>
      <c r="DF87" s="142"/>
      <c r="DG87" s="142"/>
      <c r="DH87" s="142"/>
      <c r="DI87" s="142"/>
      <c r="DJ87" s="142"/>
      <c r="DK87" s="142"/>
      <c r="DL87" s="142"/>
      <c r="DM87" s="142"/>
      <c r="DN87" s="142"/>
      <c r="DO87" s="142"/>
      <c r="DP87" s="142"/>
      <c r="DQ87" s="142"/>
      <c r="DR87" s="142"/>
      <c r="DS87" s="142"/>
      <c r="DT87" s="142"/>
      <c r="DU87" s="142"/>
      <c r="DV87" s="142"/>
      <c r="DW87" s="142"/>
      <c r="DX87" s="142"/>
      <c r="DY87" s="142"/>
      <c r="DZ87" s="142"/>
      <c r="EA87" s="142"/>
      <c r="EB87" s="142"/>
      <c r="EC87" s="142"/>
      <c r="ED87" s="142"/>
      <c r="EE87" s="142"/>
      <c r="EF87" s="142"/>
      <c r="EG87" s="142"/>
      <c r="EH87" s="142"/>
      <c r="EI87" s="142"/>
      <c r="EJ87" s="142"/>
      <c r="EK87" s="142"/>
      <c r="EL87" s="142"/>
      <c r="EM87" s="142"/>
      <c r="EN87" s="142"/>
      <c r="EO87" s="142"/>
      <c r="EP87" s="142"/>
      <c r="EQ87" s="142"/>
      <c r="ER87" s="142"/>
      <c r="ES87" s="142"/>
      <c r="ET87" s="142"/>
      <c r="EU87" s="142"/>
      <c r="EV87" s="142"/>
      <c r="EW87" s="142"/>
    </row>
    <row r="88" spans="1:153" s="143" customFormat="1" ht="27" customHeight="1">
      <c r="A88" s="3227" t="s">
        <v>587</v>
      </c>
      <c r="B88" s="384">
        <f>세입예산총괄표3!B73</f>
        <v>360000</v>
      </c>
      <c r="C88" s="385">
        <f t="shared" si="47"/>
        <v>4.1323134630657843E-5</v>
      </c>
      <c r="D88" s="384">
        <v>360000</v>
      </c>
      <c r="E88" s="385">
        <f t="shared" si="48"/>
        <v>3.5216920086645365E-5</v>
      </c>
      <c r="F88" s="386">
        <f t="shared" si="52"/>
        <v>0</v>
      </c>
      <c r="G88" s="3228">
        <f t="shared" si="53"/>
        <v>0</v>
      </c>
      <c r="H88" s="3180" t="s">
        <v>806</v>
      </c>
      <c r="I88" s="3129">
        <f>세출예산총괄표4!B89</f>
        <v>719000</v>
      </c>
      <c r="J88" s="3183">
        <f t="shared" si="44"/>
        <v>8.2531482776230519E-5</v>
      </c>
      <c r="K88" s="3129">
        <v>0</v>
      </c>
      <c r="L88" s="3183">
        <f t="shared" si="45"/>
        <v>0</v>
      </c>
      <c r="M88" s="3131">
        <f t="shared" si="51"/>
        <v>719000</v>
      </c>
      <c r="N88" s="3132"/>
      <c r="O88" s="144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  <c r="AT88" s="142"/>
      <c r="AU88" s="142"/>
      <c r="AV88" s="142"/>
      <c r="AW88" s="142"/>
      <c r="AX88" s="142"/>
      <c r="AY88" s="142"/>
      <c r="AZ88" s="142"/>
      <c r="BA88" s="142"/>
      <c r="BB88" s="142"/>
      <c r="BC88" s="142"/>
      <c r="BD88" s="142"/>
      <c r="BE88" s="142"/>
      <c r="BF88" s="142"/>
      <c r="BG88" s="142"/>
      <c r="BH88" s="142"/>
      <c r="BI88" s="142"/>
      <c r="BJ88" s="142"/>
      <c r="BK88" s="142"/>
      <c r="BL88" s="142"/>
      <c r="BM88" s="142"/>
      <c r="BN88" s="142"/>
      <c r="BO88" s="142"/>
      <c r="BP88" s="142"/>
      <c r="BQ88" s="142"/>
      <c r="BR88" s="142"/>
      <c r="BS88" s="142"/>
      <c r="BT88" s="142"/>
      <c r="BU88" s="142"/>
      <c r="BV88" s="142"/>
      <c r="BW88" s="142"/>
      <c r="BX88" s="142"/>
      <c r="BY88" s="142"/>
      <c r="BZ88" s="142"/>
      <c r="CA88" s="142"/>
      <c r="CB88" s="142"/>
      <c r="CC88" s="142"/>
      <c r="CD88" s="142"/>
      <c r="CE88" s="142"/>
      <c r="CF88" s="142"/>
      <c r="CG88" s="142"/>
      <c r="CH88" s="142"/>
      <c r="CI88" s="142"/>
      <c r="CJ88" s="142"/>
      <c r="CK88" s="142"/>
      <c r="CL88" s="142"/>
      <c r="CM88" s="142"/>
      <c r="CN88" s="142"/>
      <c r="CO88" s="142"/>
      <c r="CP88" s="142"/>
      <c r="CQ88" s="142"/>
      <c r="CR88" s="142"/>
      <c r="CS88" s="142"/>
      <c r="CT88" s="142"/>
      <c r="CU88" s="142"/>
      <c r="CV88" s="142"/>
      <c r="CW88" s="142"/>
      <c r="CX88" s="142"/>
      <c r="CY88" s="142"/>
      <c r="CZ88" s="142"/>
      <c r="DA88" s="142"/>
      <c r="DB88" s="142"/>
      <c r="DC88" s="142"/>
      <c r="DD88" s="142"/>
      <c r="DE88" s="142"/>
      <c r="DF88" s="142"/>
      <c r="DG88" s="142"/>
      <c r="DH88" s="142"/>
      <c r="DI88" s="142"/>
      <c r="DJ88" s="142"/>
      <c r="DK88" s="142"/>
      <c r="DL88" s="142"/>
      <c r="DM88" s="142"/>
      <c r="DN88" s="142"/>
      <c r="DO88" s="142"/>
      <c r="DP88" s="142"/>
      <c r="DQ88" s="142"/>
      <c r="DR88" s="142"/>
      <c r="DS88" s="142"/>
      <c r="DT88" s="142"/>
      <c r="DU88" s="142"/>
      <c r="DV88" s="142"/>
      <c r="DW88" s="142"/>
      <c r="DX88" s="142"/>
      <c r="DY88" s="142"/>
      <c r="DZ88" s="142"/>
      <c r="EA88" s="142"/>
      <c r="EB88" s="142"/>
      <c r="EC88" s="142"/>
      <c r="ED88" s="142"/>
      <c r="EE88" s="142"/>
      <c r="EF88" s="142"/>
      <c r="EG88" s="142"/>
      <c r="EH88" s="142"/>
      <c r="EI88" s="142"/>
      <c r="EJ88" s="142"/>
      <c r="EK88" s="142"/>
      <c r="EL88" s="142"/>
      <c r="EM88" s="142"/>
      <c r="EN88" s="142"/>
      <c r="EO88" s="142"/>
      <c r="EP88" s="142"/>
      <c r="EQ88" s="142"/>
      <c r="ER88" s="142"/>
      <c r="ES88" s="142"/>
      <c r="ET88" s="142"/>
      <c r="EU88" s="142"/>
      <c r="EV88" s="142"/>
      <c r="EW88" s="142"/>
    </row>
    <row r="89" spans="1:153" s="143" customFormat="1" ht="27" customHeight="1">
      <c r="A89" s="3173" t="s">
        <v>723</v>
      </c>
      <c r="B89" s="366">
        <f>SUM(B90:B96)</f>
        <v>403864000</v>
      </c>
      <c r="C89" s="367">
        <f>B89/$B$6</f>
        <v>4.635812901243333E-2</v>
      </c>
      <c r="D89" s="366">
        <f>SUM(D90:D96)</f>
        <v>347341000</v>
      </c>
      <c r="E89" s="377">
        <f>D89/$D$6</f>
        <v>3.3978556221709685E-2</v>
      </c>
      <c r="F89" s="368">
        <f>B89-D89</f>
        <v>56523000</v>
      </c>
      <c r="G89" s="379">
        <f>F89/D89</f>
        <v>0.1627305731255452</v>
      </c>
      <c r="H89" s="3225" t="s">
        <v>497</v>
      </c>
      <c r="I89" s="3129">
        <f>세출예산총괄표4!B90</f>
        <v>2040000</v>
      </c>
      <c r="J89" s="3183">
        <f t="shared" si="44"/>
        <v>2.3416442957372775E-4</v>
      </c>
      <c r="K89" s="3129">
        <v>16620000</v>
      </c>
      <c r="L89" s="3183">
        <f t="shared" si="45"/>
        <v>1.6258477788571547E-3</v>
      </c>
      <c r="M89" s="3131">
        <f t="shared" si="51"/>
        <v>-14580000</v>
      </c>
      <c r="N89" s="3132">
        <f t="shared" si="43"/>
        <v>-0.87725631768953072</v>
      </c>
      <c r="O89" s="144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/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  <c r="AT89" s="142"/>
      <c r="AU89" s="142"/>
      <c r="AV89" s="142"/>
      <c r="AW89" s="142"/>
      <c r="AX89" s="142"/>
      <c r="AY89" s="142"/>
      <c r="AZ89" s="142"/>
      <c r="BA89" s="142"/>
      <c r="BB89" s="142"/>
      <c r="BC89" s="142"/>
      <c r="BD89" s="142"/>
      <c r="BE89" s="142"/>
      <c r="BF89" s="142"/>
      <c r="BG89" s="142"/>
      <c r="BH89" s="142"/>
      <c r="BI89" s="142"/>
      <c r="BJ89" s="142"/>
      <c r="BK89" s="142"/>
      <c r="BL89" s="142"/>
      <c r="BM89" s="142"/>
      <c r="BN89" s="142"/>
      <c r="BO89" s="142"/>
      <c r="BP89" s="142"/>
      <c r="BQ89" s="142"/>
      <c r="BR89" s="142"/>
      <c r="BS89" s="142"/>
      <c r="BT89" s="142"/>
      <c r="BU89" s="142"/>
      <c r="BV89" s="142"/>
      <c r="BW89" s="142"/>
      <c r="BX89" s="142"/>
      <c r="BY89" s="142"/>
      <c r="BZ89" s="142"/>
      <c r="CA89" s="142"/>
      <c r="CB89" s="142"/>
      <c r="CC89" s="142"/>
      <c r="CD89" s="142"/>
      <c r="CE89" s="142"/>
      <c r="CF89" s="142"/>
      <c r="CG89" s="142"/>
      <c r="CH89" s="142"/>
      <c r="CI89" s="142"/>
      <c r="CJ89" s="142"/>
      <c r="CK89" s="142"/>
      <c r="CL89" s="142"/>
      <c r="CM89" s="142"/>
      <c r="CN89" s="142"/>
      <c r="CO89" s="142"/>
      <c r="CP89" s="142"/>
      <c r="CQ89" s="142"/>
      <c r="CR89" s="142"/>
      <c r="CS89" s="142"/>
      <c r="CT89" s="142"/>
      <c r="CU89" s="142"/>
      <c r="CV89" s="142"/>
      <c r="CW89" s="142"/>
      <c r="CX89" s="142"/>
      <c r="CY89" s="142"/>
      <c r="CZ89" s="142"/>
      <c r="DA89" s="142"/>
      <c r="DB89" s="142"/>
      <c r="DC89" s="142"/>
      <c r="DD89" s="142"/>
      <c r="DE89" s="142"/>
      <c r="DF89" s="142"/>
      <c r="DG89" s="142"/>
      <c r="DH89" s="142"/>
      <c r="DI89" s="142"/>
      <c r="DJ89" s="142"/>
      <c r="DK89" s="142"/>
      <c r="DL89" s="142"/>
      <c r="DM89" s="142"/>
      <c r="DN89" s="142"/>
      <c r="DO89" s="142"/>
      <c r="DP89" s="142"/>
      <c r="DQ89" s="142"/>
      <c r="DR89" s="142"/>
      <c r="DS89" s="142"/>
      <c r="DT89" s="142"/>
      <c r="DU89" s="142"/>
      <c r="DV89" s="142"/>
      <c r="DW89" s="142"/>
      <c r="DX89" s="142"/>
      <c r="DY89" s="142"/>
      <c r="DZ89" s="142"/>
      <c r="EA89" s="142"/>
      <c r="EB89" s="142"/>
      <c r="EC89" s="142"/>
      <c r="ED89" s="142"/>
      <c r="EE89" s="142"/>
      <c r="EF89" s="142"/>
      <c r="EG89" s="142"/>
      <c r="EH89" s="142"/>
      <c r="EI89" s="142"/>
      <c r="EJ89" s="142"/>
      <c r="EK89" s="142"/>
      <c r="EL89" s="142"/>
      <c r="EM89" s="142"/>
      <c r="EN89" s="142"/>
      <c r="EO89" s="142"/>
      <c r="EP89" s="142"/>
      <c r="EQ89" s="142"/>
      <c r="ER89" s="142"/>
      <c r="ES89" s="142"/>
      <c r="ET89" s="142"/>
      <c r="EU89" s="142"/>
      <c r="EV89" s="142"/>
      <c r="EW89" s="142"/>
    </row>
    <row r="90" spans="1:153" s="143" customFormat="1" ht="27" customHeight="1">
      <c r="A90" s="3217" t="s">
        <v>576</v>
      </c>
      <c r="B90" s="3218">
        <f>세입예산총괄표3!B75</f>
        <v>55800000</v>
      </c>
      <c r="C90" s="3219">
        <f>B90/$B$6</f>
        <v>6.4050858677519654E-3</v>
      </c>
      <c r="D90" s="3218">
        <v>51000000</v>
      </c>
      <c r="E90" s="3219">
        <f>D90/$D$6</f>
        <v>4.9890636789414267E-3</v>
      </c>
      <c r="F90" s="3220">
        <f>B90-D90</f>
        <v>4800000</v>
      </c>
      <c r="G90" s="3221">
        <f>F90/D90</f>
        <v>9.4117647058823528E-2</v>
      </c>
      <c r="H90" s="3225" t="s">
        <v>499</v>
      </c>
      <c r="I90" s="3129">
        <f>세출예산총괄표4!B91</f>
        <v>0</v>
      </c>
      <c r="J90" s="3183">
        <f t="shared" si="44"/>
        <v>0</v>
      </c>
      <c r="K90" s="3129">
        <v>8000000</v>
      </c>
      <c r="L90" s="3183">
        <f t="shared" si="45"/>
        <v>7.8259820883617548E-4</v>
      </c>
      <c r="M90" s="3131">
        <f t="shared" si="51"/>
        <v>-8000000</v>
      </c>
      <c r="N90" s="3132">
        <f t="shared" si="43"/>
        <v>-1</v>
      </c>
      <c r="O90" s="144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  <c r="AT90" s="142"/>
      <c r="AU90" s="142"/>
      <c r="AV90" s="142"/>
      <c r="AW90" s="142"/>
      <c r="AX90" s="142"/>
      <c r="AY90" s="142"/>
      <c r="AZ90" s="142"/>
      <c r="BA90" s="142"/>
      <c r="BB90" s="142"/>
      <c r="BC90" s="142"/>
      <c r="BD90" s="142"/>
      <c r="BE90" s="142"/>
      <c r="BF90" s="142"/>
      <c r="BG90" s="142"/>
      <c r="BH90" s="142"/>
      <c r="BI90" s="142"/>
      <c r="BJ90" s="142"/>
      <c r="BK90" s="142"/>
      <c r="BL90" s="142"/>
      <c r="BM90" s="142"/>
      <c r="BN90" s="142"/>
      <c r="BO90" s="142"/>
      <c r="BP90" s="142"/>
      <c r="BQ90" s="142"/>
      <c r="BR90" s="142"/>
      <c r="BS90" s="142"/>
      <c r="BT90" s="142"/>
      <c r="BU90" s="142"/>
      <c r="BV90" s="142"/>
      <c r="BW90" s="142"/>
      <c r="BX90" s="142"/>
      <c r="BY90" s="142"/>
      <c r="BZ90" s="142"/>
      <c r="CA90" s="142"/>
      <c r="CB90" s="142"/>
      <c r="CC90" s="142"/>
      <c r="CD90" s="142"/>
      <c r="CE90" s="142"/>
      <c r="CF90" s="142"/>
      <c r="CG90" s="142"/>
      <c r="CH90" s="142"/>
      <c r="CI90" s="142"/>
      <c r="CJ90" s="142"/>
      <c r="CK90" s="142"/>
      <c r="CL90" s="142"/>
      <c r="CM90" s="142"/>
      <c r="CN90" s="142"/>
      <c r="CO90" s="142"/>
      <c r="CP90" s="142"/>
      <c r="CQ90" s="142"/>
      <c r="CR90" s="142"/>
      <c r="CS90" s="142"/>
      <c r="CT90" s="142"/>
      <c r="CU90" s="142"/>
      <c r="CV90" s="142"/>
      <c r="CW90" s="142"/>
      <c r="CX90" s="142"/>
      <c r="CY90" s="142"/>
      <c r="CZ90" s="142"/>
      <c r="DA90" s="142"/>
      <c r="DB90" s="142"/>
      <c r="DC90" s="142"/>
      <c r="DD90" s="142"/>
      <c r="DE90" s="142"/>
      <c r="DF90" s="142"/>
      <c r="DG90" s="142"/>
      <c r="DH90" s="142"/>
      <c r="DI90" s="142"/>
      <c r="DJ90" s="142"/>
      <c r="DK90" s="142"/>
      <c r="DL90" s="142"/>
      <c r="DM90" s="142"/>
      <c r="DN90" s="142"/>
      <c r="DO90" s="142"/>
      <c r="DP90" s="142"/>
      <c r="DQ90" s="142"/>
      <c r="DR90" s="142"/>
      <c r="DS90" s="142"/>
      <c r="DT90" s="142"/>
      <c r="DU90" s="142"/>
      <c r="DV90" s="142"/>
      <c r="DW90" s="142"/>
      <c r="DX90" s="142"/>
      <c r="DY90" s="142"/>
      <c r="DZ90" s="142"/>
      <c r="EA90" s="142"/>
      <c r="EB90" s="142"/>
      <c r="EC90" s="142"/>
      <c r="ED90" s="142"/>
      <c r="EE90" s="142"/>
      <c r="EF90" s="142"/>
      <c r="EG90" s="142"/>
      <c r="EH90" s="142"/>
      <c r="EI90" s="142"/>
      <c r="EJ90" s="142"/>
      <c r="EK90" s="142"/>
      <c r="EL90" s="142"/>
      <c r="EM90" s="142"/>
      <c r="EN90" s="142"/>
      <c r="EO90" s="142"/>
      <c r="EP90" s="142"/>
      <c r="EQ90" s="142"/>
      <c r="ER90" s="142"/>
      <c r="ES90" s="142"/>
      <c r="ET90" s="142"/>
      <c r="EU90" s="142"/>
      <c r="EV90" s="142"/>
      <c r="EW90" s="142"/>
    </row>
    <row r="91" spans="1:153" s="143" customFormat="1" ht="27" customHeight="1">
      <c r="A91" s="3223" t="s">
        <v>583</v>
      </c>
      <c r="B91" s="380">
        <f>세입예산총괄표3!B76</f>
        <v>89136000</v>
      </c>
      <c r="C91" s="381">
        <f>B91/$B$6</f>
        <v>1.0231608134550881E-2</v>
      </c>
      <c r="D91" s="380">
        <v>38853000</v>
      </c>
      <c r="E91" s="381">
        <f>D91/$D$6</f>
        <v>3.8007861003512009E-3</v>
      </c>
      <c r="F91" s="382">
        <f>B91-D91</f>
        <v>50283000</v>
      </c>
      <c r="G91" s="3213">
        <f t="shared" ref="G91:G95" si="54">F91/D91</f>
        <v>1.2941857771600649</v>
      </c>
      <c r="H91" s="3226" t="s">
        <v>531</v>
      </c>
      <c r="I91" s="3144">
        <f>세출예산총괄표4!B92</f>
        <v>16000</v>
      </c>
      <c r="J91" s="3189">
        <f t="shared" si="44"/>
        <v>1.8365837613625707E-6</v>
      </c>
      <c r="K91" s="3144">
        <v>2400000</v>
      </c>
      <c r="L91" s="3189">
        <f t="shared" si="45"/>
        <v>2.3477946265085264E-4</v>
      </c>
      <c r="M91" s="3145">
        <f t="shared" si="51"/>
        <v>-2384000</v>
      </c>
      <c r="N91" s="3135">
        <f t="shared" si="43"/>
        <v>-0.99333333333333329</v>
      </c>
      <c r="O91" s="144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  <c r="AT91" s="142"/>
      <c r="AU91" s="142"/>
      <c r="AV91" s="142"/>
      <c r="AW91" s="142"/>
      <c r="AX91" s="142"/>
      <c r="AY91" s="142"/>
      <c r="AZ91" s="142"/>
      <c r="BA91" s="142"/>
      <c r="BB91" s="142"/>
      <c r="BC91" s="142"/>
      <c r="BD91" s="142"/>
      <c r="BE91" s="142"/>
      <c r="BF91" s="142"/>
      <c r="BG91" s="142"/>
      <c r="BH91" s="142"/>
      <c r="BI91" s="142"/>
      <c r="BJ91" s="142"/>
      <c r="BK91" s="142"/>
      <c r="BL91" s="142"/>
      <c r="BM91" s="142"/>
      <c r="BN91" s="142"/>
      <c r="BO91" s="142"/>
      <c r="BP91" s="142"/>
      <c r="BQ91" s="142"/>
      <c r="BR91" s="142"/>
      <c r="BS91" s="142"/>
      <c r="BT91" s="142"/>
      <c r="BU91" s="142"/>
      <c r="BV91" s="142"/>
      <c r="BW91" s="142"/>
      <c r="BX91" s="142"/>
      <c r="BY91" s="142"/>
      <c r="BZ91" s="142"/>
      <c r="CA91" s="142"/>
      <c r="CB91" s="142"/>
      <c r="CC91" s="142"/>
      <c r="CD91" s="142"/>
      <c r="CE91" s="142"/>
      <c r="CF91" s="142"/>
      <c r="CG91" s="142"/>
      <c r="CH91" s="142"/>
      <c r="CI91" s="142"/>
      <c r="CJ91" s="142"/>
      <c r="CK91" s="142"/>
      <c r="CL91" s="142"/>
      <c r="CM91" s="142"/>
      <c r="CN91" s="142"/>
      <c r="CO91" s="142"/>
      <c r="CP91" s="142"/>
      <c r="CQ91" s="142"/>
      <c r="CR91" s="142"/>
      <c r="CS91" s="142"/>
      <c r="CT91" s="142"/>
      <c r="CU91" s="142"/>
      <c r="CV91" s="142"/>
      <c r="CW91" s="142"/>
      <c r="CX91" s="142"/>
      <c r="CY91" s="142"/>
      <c r="CZ91" s="142"/>
      <c r="DA91" s="142"/>
      <c r="DB91" s="142"/>
      <c r="DC91" s="142"/>
      <c r="DD91" s="142"/>
      <c r="DE91" s="142"/>
      <c r="DF91" s="142"/>
      <c r="DG91" s="142"/>
      <c r="DH91" s="142"/>
      <c r="DI91" s="142"/>
      <c r="DJ91" s="142"/>
      <c r="DK91" s="142"/>
      <c r="DL91" s="142"/>
      <c r="DM91" s="142"/>
      <c r="DN91" s="142"/>
      <c r="DO91" s="142"/>
      <c r="DP91" s="142"/>
      <c r="DQ91" s="142"/>
      <c r="DR91" s="142"/>
      <c r="DS91" s="142"/>
      <c r="DT91" s="142"/>
      <c r="DU91" s="142"/>
      <c r="DV91" s="142"/>
      <c r="DW91" s="142"/>
      <c r="DX91" s="142"/>
      <c r="DY91" s="142"/>
      <c r="DZ91" s="142"/>
      <c r="EA91" s="142"/>
      <c r="EB91" s="142"/>
      <c r="EC91" s="142"/>
      <c r="ED91" s="142"/>
      <c r="EE91" s="142"/>
      <c r="EF91" s="142"/>
      <c r="EG91" s="142"/>
      <c r="EH91" s="142"/>
      <c r="EI91" s="142"/>
      <c r="EJ91" s="142"/>
      <c r="EK91" s="142"/>
      <c r="EL91" s="142"/>
      <c r="EM91" s="142"/>
      <c r="EN91" s="142"/>
      <c r="EO91" s="142"/>
      <c r="EP91" s="142"/>
      <c r="EQ91" s="142"/>
      <c r="ER91" s="142"/>
      <c r="ES91" s="142"/>
      <c r="ET91" s="142"/>
      <c r="EU91" s="142"/>
      <c r="EV91" s="142"/>
      <c r="EW91" s="142"/>
    </row>
    <row r="92" spans="1:153" s="143" customFormat="1" ht="27" customHeight="1">
      <c r="A92" s="3223" t="s">
        <v>585</v>
      </c>
      <c r="B92" s="380">
        <f>세입예산총괄표3!B77</f>
        <v>71868000</v>
      </c>
      <c r="C92" s="381">
        <f t="shared" ref="C92:C95" si="55">B92/$B$6</f>
        <v>8.2494751101003273E-3</v>
      </c>
      <c r="D92" s="380">
        <v>68224000</v>
      </c>
      <c r="E92" s="381">
        <f t="shared" ref="E92:E95" si="56">D92/$D$6</f>
        <v>6.6739976555313697E-3</v>
      </c>
      <c r="F92" s="382">
        <f t="shared" ref="F92:F95" si="57">B92-D92</f>
        <v>3644000</v>
      </c>
      <c r="G92" s="3213">
        <f t="shared" si="54"/>
        <v>5.3412288930581614E-2</v>
      </c>
      <c r="H92" s="3172" t="s">
        <v>2043</v>
      </c>
      <c r="I92" s="279">
        <f>SUM(I93:I98)</f>
        <v>25360000</v>
      </c>
      <c r="J92" s="367">
        <f>I92/$I$6</f>
        <v>2.9109852617596743E-3</v>
      </c>
      <c r="K92" s="279">
        <f>SUM(K93:K98)</f>
        <v>34527000</v>
      </c>
      <c r="L92" s="280">
        <f>K92/$K$6</f>
        <v>3.3775960445608291E-3</v>
      </c>
      <c r="M92" s="281">
        <f>SUM(M93:M98)</f>
        <v>-9167000</v>
      </c>
      <c r="N92" s="282">
        <f t="shared" si="43"/>
        <v>-0.26550236047151504</v>
      </c>
      <c r="O92" s="144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  <c r="AT92" s="142"/>
      <c r="AU92" s="142"/>
      <c r="AV92" s="142"/>
      <c r="AW92" s="142"/>
      <c r="AX92" s="142"/>
      <c r="AY92" s="142"/>
      <c r="AZ92" s="142"/>
      <c r="BA92" s="142"/>
      <c r="BB92" s="142"/>
      <c r="BC92" s="142"/>
      <c r="BD92" s="142"/>
      <c r="BE92" s="142"/>
      <c r="BF92" s="142"/>
      <c r="BG92" s="142"/>
      <c r="BH92" s="142"/>
      <c r="BI92" s="142"/>
      <c r="BJ92" s="142"/>
      <c r="BK92" s="142"/>
      <c r="BL92" s="142"/>
      <c r="BM92" s="142"/>
      <c r="BN92" s="142"/>
      <c r="BO92" s="142"/>
      <c r="BP92" s="142"/>
      <c r="BQ92" s="142"/>
      <c r="BR92" s="142"/>
      <c r="BS92" s="142"/>
      <c r="BT92" s="142"/>
      <c r="BU92" s="142"/>
      <c r="BV92" s="142"/>
      <c r="BW92" s="142"/>
      <c r="BX92" s="142"/>
      <c r="BY92" s="142"/>
      <c r="BZ92" s="142"/>
      <c r="CA92" s="142"/>
      <c r="CB92" s="142"/>
      <c r="CC92" s="142"/>
      <c r="CD92" s="142"/>
      <c r="CE92" s="142"/>
      <c r="CF92" s="142"/>
      <c r="CG92" s="142"/>
      <c r="CH92" s="142"/>
      <c r="CI92" s="142"/>
      <c r="CJ92" s="142"/>
      <c r="CK92" s="142"/>
      <c r="CL92" s="142"/>
      <c r="CM92" s="142"/>
      <c r="CN92" s="142"/>
      <c r="CO92" s="142"/>
      <c r="CP92" s="142"/>
      <c r="CQ92" s="142"/>
      <c r="CR92" s="142"/>
      <c r="CS92" s="142"/>
      <c r="CT92" s="142"/>
      <c r="CU92" s="142"/>
      <c r="CV92" s="142"/>
      <c r="CW92" s="142"/>
      <c r="CX92" s="142"/>
      <c r="CY92" s="142"/>
      <c r="CZ92" s="142"/>
      <c r="DA92" s="142"/>
      <c r="DB92" s="142"/>
      <c r="DC92" s="142"/>
      <c r="DD92" s="142"/>
      <c r="DE92" s="142"/>
      <c r="DF92" s="142"/>
      <c r="DG92" s="142"/>
      <c r="DH92" s="142"/>
      <c r="DI92" s="142"/>
      <c r="DJ92" s="142"/>
      <c r="DK92" s="142"/>
      <c r="DL92" s="142"/>
      <c r="DM92" s="142"/>
      <c r="DN92" s="142"/>
      <c r="DO92" s="142"/>
      <c r="DP92" s="142"/>
      <c r="DQ92" s="142"/>
      <c r="DR92" s="142"/>
      <c r="DS92" s="142"/>
      <c r="DT92" s="142"/>
      <c r="DU92" s="142"/>
      <c r="DV92" s="142"/>
      <c r="DW92" s="142"/>
      <c r="DX92" s="142"/>
      <c r="DY92" s="142"/>
      <c r="DZ92" s="142"/>
      <c r="EA92" s="142"/>
      <c r="EB92" s="142"/>
      <c r="EC92" s="142"/>
      <c r="ED92" s="142"/>
      <c r="EE92" s="142"/>
      <c r="EF92" s="142"/>
      <c r="EG92" s="142"/>
      <c r="EH92" s="142"/>
      <c r="EI92" s="142"/>
      <c r="EJ92" s="142"/>
      <c r="EK92" s="142"/>
      <c r="EL92" s="142"/>
      <c r="EM92" s="142"/>
      <c r="EN92" s="142"/>
      <c r="EO92" s="142"/>
      <c r="EP92" s="142"/>
      <c r="EQ92" s="142"/>
      <c r="ER92" s="142"/>
      <c r="ES92" s="142"/>
      <c r="ET92" s="142"/>
      <c r="EU92" s="142"/>
      <c r="EV92" s="142"/>
      <c r="EW92" s="142"/>
    </row>
    <row r="93" spans="1:153" s="143" customFormat="1" ht="27" customHeight="1">
      <c r="A93" s="3223" t="s">
        <v>587</v>
      </c>
      <c r="B93" s="380">
        <f>세입예산총괄표3!B78</f>
        <v>37800000</v>
      </c>
      <c r="C93" s="381">
        <f t="shared" si="55"/>
        <v>4.3389291362190734E-3</v>
      </c>
      <c r="D93" s="380">
        <v>32640000</v>
      </c>
      <c r="E93" s="381">
        <f t="shared" si="56"/>
        <v>3.1930007545225127E-3</v>
      </c>
      <c r="F93" s="382">
        <f t="shared" si="57"/>
        <v>5160000</v>
      </c>
      <c r="G93" s="3213">
        <f t="shared" si="54"/>
        <v>0.15808823529411764</v>
      </c>
      <c r="H93" s="3222" t="s">
        <v>2078</v>
      </c>
      <c r="I93" s="3139">
        <f>세출예산총괄표4!B94</f>
        <v>5000000</v>
      </c>
      <c r="J93" s="3177">
        <f t="shared" si="44"/>
        <v>5.7393242542580329E-4</v>
      </c>
      <c r="K93" s="3139">
        <v>3200000</v>
      </c>
      <c r="L93" s="3177">
        <f t="shared" si="45"/>
        <v>3.1303928353447019E-4</v>
      </c>
      <c r="M93" s="3141">
        <f t="shared" ref="M93:M98" si="58">+I93-K93</f>
        <v>1800000</v>
      </c>
      <c r="N93" s="3142">
        <f>+M93/K93</f>
        <v>0.5625</v>
      </c>
      <c r="O93" s="144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  <c r="AT93" s="142"/>
      <c r="AU93" s="142"/>
      <c r="AV93" s="142"/>
      <c r="AW93" s="142"/>
      <c r="AX93" s="142"/>
      <c r="AY93" s="142"/>
      <c r="AZ93" s="142"/>
      <c r="BA93" s="142"/>
      <c r="BB93" s="142"/>
      <c r="BC93" s="142"/>
      <c r="BD93" s="142"/>
      <c r="BE93" s="142"/>
      <c r="BF93" s="142"/>
      <c r="BG93" s="142"/>
      <c r="BH93" s="142"/>
      <c r="BI93" s="142"/>
      <c r="BJ93" s="142"/>
      <c r="BK93" s="142"/>
      <c r="BL93" s="142"/>
      <c r="BM93" s="142"/>
      <c r="BN93" s="142"/>
      <c r="BO93" s="142"/>
      <c r="BP93" s="142"/>
      <c r="BQ93" s="142"/>
      <c r="BR93" s="142"/>
      <c r="BS93" s="142"/>
      <c r="BT93" s="142"/>
      <c r="BU93" s="142"/>
      <c r="BV93" s="142"/>
      <c r="BW93" s="142"/>
      <c r="BX93" s="142"/>
      <c r="BY93" s="142"/>
      <c r="BZ93" s="142"/>
      <c r="CA93" s="142"/>
      <c r="CB93" s="142"/>
      <c r="CC93" s="142"/>
      <c r="CD93" s="142"/>
      <c r="CE93" s="142"/>
      <c r="CF93" s="142"/>
      <c r="CG93" s="142"/>
      <c r="CH93" s="142"/>
      <c r="CI93" s="142"/>
      <c r="CJ93" s="142"/>
      <c r="CK93" s="142"/>
      <c r="CL93" s="142"/>
      <c r="CM93" s="142"/>
      <c r="CN93" s="142"/>
      <c r="CO93" s="142"/>
      <c r="CP93" s="142"/>
      <c r="CQ93" s="142"/>
      <c r="CR93" s="142"/>
      <c r="CS93" s="142"/>
      <c r="CT93" s="142"/>
      <c r="CU93" s="142"/>
      <c r="CV93" s="142"/>
      <c r="CW93" s="142"/>
      <c r="CX93" s="142"/>
      <c r="CY93" s="142"/>
      <c r="CZ93" s="142"/>
      <c r="DA93" s="142"/>
      <c r="DB93" s="142"/>
      <c r="DC93" s="142"/>
      <c r="DD93" s="142"/>
      <c r="DE93" s="142"/>
      <c r="DF93" s="142"/>
      <c r="DG93" s="142"/>
      <c r="DH93" s="142"/>
      <c r="DI93" s="142"/>
      <c r="DJ93" s="142"/>
      <c r="DK93" s="142"/>
      <c r="DL93" s="142"/>
      <c r="DM93" s="142"/>
      <c r="DN93" s="142"/>
      <c r="DO93" s="142"/>
      <c r="DP93" s="142"/>
      <c r="DQ93" s="142"/>
      <c r="DR93" s="142"/>
      <c r="DS93" s="142"/>
      <c r="DT93" s="142"/>
      <c r="DU93" s="142"/>
      <c r="DV93" s="142"/>
      <c r="DW93" s="142"/>
      <c r="DX93" s="142"/>
      <c r="DY93" s="142"/>
      <c r="DZ93" s="142"/>
      <c r="EA93" s="142"/>
      <c r="EB93" s="142"/>
      <c r="EC93" s="142"/>
      <c r="ED93" s="142"/>
      <c r="EE93" s="142"/>
      <c r="EF93" s="142"/>
      <c r="EG93" s="142"/>
      <c r="EH93" s="142"/>
      <c r="EI93" s="142"/>
      <c r="EJ93" s="142"/>
      <c r="EK93" s="142"/>
      <c r="EL93" s="142"/>
      <c r="EM93" s="142"/>
      <c r="EN93" s="142"/>
      <c r="EO93" s="142"/>
      <c r="EP93" s="142"/>
      <c r="EQ93" s="142"/>
      <c r="ER93" s="142"/>
      <c r="ES93" s="142"/>
      <c r="ET93" s="142"/>
      <c r="EU93" s="142"/>
      <c r="EV93" s="142"/>
      <c r="EW93" s="142"/>
    </row>
    <row r="94" spans="1:153" s="143" customFormat="1" ht="27" customHeight="1">
      <c r="A94" s="3223" t="s">
        <v>499</v>
      </c>
      <c r="B94" s="380">
        <f>세입예산총괄표3!B79</f>
        <v>11250000</v>
      </c>
      <c r="C94" s="381">
        <f t="shared" si="55"/>
        <v>1.2913479572080576E-3</v>
      </c>
      <c r="D94" s="380">
        <f>세입예산총괄표3!D79</f>
        <v>16000000</v>
      </c>
      <c r="E94" s="381">
        <f t="shared" ref="E94" si="59">D94/$D$6</f>
        <v>1.5651964482953494E-3</v>
      </c>
      <c r="F94" s="382">
        <f t="shared" ref="F94" si="60">B94-D94</f>
        <v>-4750000</v>
      </c>
      <c r="G94" s="3213">
        <f t="shared" ref="G94" si="61">F94/D94</f>
        <v>-0.296875</v>
      </c>
      <c r="H94" s="3242" t="s">
        <v>580</v>
      </c>
      <c r="I94" s="3136">
        <f>세출예산총괄표4!B95</f>
        <v>5000000</v>
      </c>
      <c r="J94" s="3183">
        <f t="shared" si="44"/>
        <v>5.7393242542580329E-4</v>
      </c>
      <c r="K94" s="3136">
        <v>0</v>
      </c>
      <c r="L94" s="3202">
        <f t="shared" si="45"/>
        <v>0</v>
      </c>
      <c r="M94" s="3137">
        <f t="shared" si="58"/>
        <v>5000000</v>
      </c>
      <c r="N94" s="3138"/>
      <c r="O94" s="144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  <c r="AT94" s="142"/>
      <c r="AU94" s="142"/>
      <c r="AV94" s="142"/>
      <c r="AW94" s="142"/>
      <c r="AX94" s="142"/>
      <c r="AY94" s="142"/>
      <c r="AZ94" s="142"/>
      <c r="BA94" s="142"/>
      <c r="BB94" s="142"/>
      <c r="BC94" s="142"/>
      <c r="BD94" s="142"/>
      <c r="BE94" s="142"/>
      <c r="BF94" s="142"/>
      <c r="BG94" s="142"/>
      <c r="BH94" s="142"/>
      <c r="BI94" s="142"/>
      <c r="BJ94" s="142"/>
      <c r="BK94" s="142"/>
      <c r="BL94" s="142"/>
      <c r="BM94" s="142"/>
      <c r="BN94" s="142"/>
      <c r="BO94" s="142"/>
      <c r="BP94" s="142"/>
      <c r="BQ94" s="142"/>
      <c r="BR94" s="142"/>
      <c r="BS94" s="142"/>
      <c r="BT94" s="142"/>
      <c r="BU94" s="142"/>
      <c r="BV94" s="142"/>
      <c r="BW94" s="142"/>
      <c r="BX94" s="142"/>
      <c r="BY94" s="142"/>
      <c r="BZ94" s="142"/>
      <c r="CA94" s="142"/>
      <c r="CB94" s="142"/>
      <c r="CC94" s="142"/>
      <c r="CD94" s="142"/>
      <c r="CE94" s="142"/>
      <c r="CF94" s="142"/>
      <c r="CG94" s="142"/>
      <c r="CH94" s="142"/>
      <c r="CI94" s="142"/>
      <c r="CJ94" s="142"/>
      <c r="CK94" s="142"/>
      <c r="CL94" s="142"/>
      <c r="CM94" s="142"/>
      <c r="CN94" s="142"/>
      <c r="CO94" s="142"/>
      <c r="CP94" s="142"/>
      <c r="CQ94" s="142"/>
      <c r="CR94" s="142"/>
      <c r="CS94" s="142"/>
      <c r="CT94" s="142"/>
      <c r="CU94" s="142"/>
      <c r="CV94" s="142"/>
      <c r="CW94" s="142"/>
      <c r="CX94" s="142"/>
      <c r="CY94" s="142"/>
      <c r="CZ94" s="142"/>
      <c r="DA94" s="142"/>
      <c r="DB94" s="142"/>
      <c r="DC94" s="142"/>
      <c r="DD94" s="142"/>
      <c r="DE94" s="142"/>
      <c r="DF94" s="142"/>
      <c r="DG94" s="142"/>
      <c r="DH94" s="142"/>
      <c r="DI94" s="142"/>
      <c r="DJ94" s="142"/>
      <c r="DK94" s="142"/>
      <c r="DL94" s="142"/>
      <c r="DM94" s="142"/>
      <c r="DN94" s="142"/>
      <c r="DO94" s="142"/>
      <c r="DP94" s="142"/>
      <c r="DQ94" s="142"/>
      <c r="DR94" s="142"/>
      <c r="DS94" s="142"/>
      <c r="DT94" s="142"/>
      <c r="DU94" s="142"/>
      <c r="DV94" s="142"/>
      <c r="DW94" s="142"/>
      <c r="DX94" s="142"/>
      <c r="DY94" s="142"/>
      <c r="DZ94" s="142"/>
      <c r="EA94" s="142"/>
      <c r="EB94" s="142"/>
      <c r="EC94" s="142"/>
      <c r="ED94" s="142"/>
      <c r="EE94" s="142"/>
      <c r="EF94" s="142"/>
      <c r="EG94" s="142"/>
      <c r="EH94" s="142"/>
      <c r="EI94" s="142"/>
      <c r="EJ94" s="142"/>
      <c r="EK94" s="142"/>
      <c r="EL94" s="142"/>
      <c r="EM94" s="142"/>
      <c r="EN94" s="142"/>
      <c r="EO94" s="142"/>
      <c r="EP94" s="142"/>
      <c r="EQ94" s="142"/>
      <c r="ER94" s="142"/>
      <c r="ES94" s="142"/>
      <c r="ET94" s="142"/>
      <c r="EU94" s="142"/>
      <c r="EV94" s="142"/>
      <c r="EW94" s="142"/>
    </row>
    <row r="95" spans="1:153" s="143" customFormat="1" ht="27" customHeight="1">
      <c r="A95" s="3227" t="s">
        <v>531</v>
      </c>
      <c r="B95" s="380">
        <f>세입예산총괄표3!B80</f>
        <v>2800000</v>
      </c>
      <c r="C95" s="381">
        <f t="shared" si="55"/>
        <v>3.2140215823844989E-4</v>
      </c>
      <c r="D95" s="380">
        <f>세입예산총괄표3!D80</f>
        <v>2400000</v>
      </c>
      <c r="E95" s="381">
        <f t="shared" si="56"/>
        <v>2.3477946724430242E-4</v>
      </c>
      <c r="F95" s="382">
        <f t="shared" si="57"/>
        <v>400000</v>
      </c>
      <c r="G95" s="3213">
        <f t="shared" si="54"/>
        <v>0.16666666666666666</v>
      </c>
      <c r="H95" s="3180" t="s">
        <v>312</v>
      </c>
      <c r="I95" s="3129">
        <f>세출예산총괄표4!B96</f>
        <v>1700000</v>
      </c>
      <c r="J95" s="3183">
        <f t="shared" si="44"/>
        <v>1.9513702464477313E-4</v>
      </c>
      <c r="K95" s="3129">
        <v>2200000</v>
      </c>
      <c r="L95" s="3183">
        <f t="shared" si="45"/>
        <v>2.1521450742994827E-4</v>
      </c>
      <c r="M95" s="3131">
        <f t="shared" si="58"/>
        <v>-500000</v>
      </c>
      <c r="N95" s="3132">
        <f t="shared" si="43"/>
        <v>-0.22727272727272727</v>
      </c>
      <c r="O95" s="144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  <c r="AT95" s="142"/>
      <c r="AU95" s="142"/>
      <c r="AV95" s="142"/>
      <c r="AW95" s="142"/>
      <c r="AX95" s="142"/>
      <c r="AY95" s="142"/>
      <c r="AZ95" s="142"/>
      <c r="BA95" s="142"/>
      <c r="BB95" s="142"/>
      <c r="BC95" s="142"/>
      <c r="BD95" s="142"/>
      <c r="BE95" s="142"/>
      <c r="BF95" s="142"/>
      <c r="BG95" s="142"/>
      <c r="BH95" s="142"/>
      <c r="BI95" s="142"/>
      <c r="BJ95" s="142"/>
      <c r="BK95" s="142"/>
      <c r="BL95" s="142"/>
      <c r="BM95" s="142"/>
      <c r="BN95" s="142"/>
      <c r="BO95" s="142"/>
      <c r="BP95" s="142"/>
      <c r="BQ95" s="142"/>
      <c r="BR95" s="142"/>
      <c r="BS95" s="142"/>
      <c r="BT95" s="142"/>
      <c r="BU95" s="142"/>
      <c r="BV95" s="142"/>
      <c r="BW95" s="142"/>
      <c r="BX95" s="142"/>
      <c r="BY95" s="142"/>
      <c r="BZ95" s="142"/>
      <c r="CA95" s="142"/>
      <c r="CB95" s="142"/>
      <c r="CC95" s="142"/>
      <c r="CD95" s="142"/>
      <c r="CE95" s="142"/>
      <c r="CF95" s="142"/>
      <c r="CG95" s="142"/>
      <c r="CH95" s="142"/>
      <c r="CI95" s="142"/>
      <c r="CJ95" s="142"/>
      <c r="CK95" s="142"/>
      <c r="CL95" s="142"/>
      <c r="CM95" s="142"/>
      <c r="CN95" s="142"/>
      <c r="CO95" s="142"/>
      <c r="CP95" s="142"/>
      <c r="CQ95" s="142"/>
      <c r="CR95" s="142"/>
      <c r="CS95" s="142"/>
      <c r="CT95" s="142"/>
      <c r="CU95" s="142"/>
      <c r="CV95" s="142"/>
      <c r="CW95" s="142"/>
      <c r="CX95" s="142"/>
      <c r="CY95" s="142"/>
      <c r="CZ95" s="142"/>
      <c r="DA95" s="142"/>
      <c r="DB95" s="142"/>
      <c r="DC95" s="142"/>
      <c r="DD95" s="142"/>
      <c r="DE95" s="142"/>
      <c r="DF95" s="142"/>
      <c r="DG95" s="142"/>
      <c r="DH95" s="142"/>
      <c r="DI95" s="142"/>
      <c r="DJ95" s="142"/>
      <c r="DK95" s="142"/>
      <c r="DL95" s="142"/>
      <c r="DM95" s="142"/>
      <c r="DN95" s="142"/>
      <c r="DO95" s="142"/>
      <c r="DP95" s="142"/>
      <c r="DQ95" s="142"/>
      <c r="DR95" s="142"/>
      <c r="DS95" s="142"/>
      <c r="DT95" s="142"/>
      <c r="DU95" s="142"/>
      <c r="DV95" s="142"/>
      <c r="DW95" s="142"/>
      <c r="DX95" s="142"/>
      <c r="DY95" s="142"/>
      <c r="DZ95" s="142"/>
      <c r="EA95" s="142"/>
      <c r="EB95" s="142"/>
      <c r="EC95" s="142"/>
      <c r="ED95" s="142"/>
      <c r="EE95" s="142"/>
      <c r="EF95" s="142"/>
      <c r="EG95" s="142"/>
      <c r="EH95" s="142"/>
      <c r="EI95" s="142"/>
      <c r="EJ95" s="142"/>
      <c r="EK95" s="142"/>
      <c r="EL95" s="142"/>
      <c r="EM95" s="142"/>
      <c r="EN95" s="142"/>
      <c r="EO95" s="142"/>
      <c r="EP95" s="142"/>
      <c r="EQ95" s="142"/>
      <c r="ER95" s="142"/>
      <c r="ES95" s="142"/>
      <c r="ET95" s="142"/>
      <c r="EU95" s="142"/>
      <c r="EV95" s="142"/>
      <c r="EW95" s="142"/>
    </row>
    <row r="96" spans="1:153" s="143" customFormat="1" ht="27" customHeight="1">
      <c r="A96" s="3173" t="s">
        <v>561</v>
      </c>
      <c r="B96" s="366">
        <f>SUM(B97:B105)</f>
        <v>135210000</v>
      </c>
      <c r="C96" s="367">
        <f t="shared" ref="C96:C105" si="62">B96/$B$6</f>
        <v>1.5520280648364573E-2</v>
      </c>
      <c r="D96" s="366">
        <f>SUM(D97:D105)</f>
        <v>138224000</v>
      </c>
      <c r="E96" s="377">
        <f>D96/$D$6</f>
        <v>1.3521732116823525E-2</v>
      </c>
      <c r="F96" s="368">
        <f>SUM(F97:F105)</f>
        <v>-3014000</v>
      </c>
      <c r="G96" s="379">
        <f>F96/D96</f>
        <v>-2.1805185785391829E-2</v>
      </c>
      <c r="H96" s="3225" t="s">
        <v>333</v>
      </c>
      <c r="I96" s="3129">
        <f>세출예산총괄표4!B97</f>
        <v>0</v>
      </c>
      <c r="J96" s="3183">
        <f t="shared" si="44"/>
        <v>0</v>
      </c>
      <c r="K96" s="3129">
        <v>2402000</v>
      </c>
      <c r="L96" s="3183">
        <f t="shared" si="45"/>
        <v>2.3497511220306171E-4</v>
      </c>
      <c r="M96" s="3131">
        <f t="shared" si="58"/>
        <v>-2402000</v>
      </c>
      <c r="N96" s="3132">
        <f t="shared" si="43"/>
        <v>-1</v>
      </c>
      <c r="O96" s="144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  <c r="AT96" s="142"/>
      <c r="AU96" s="142"/>
      <c r="AV96" s="142"/>
      <c r="AW96" s="142"/>
      <c r="AX96" s="142"/>
      <c r="AY96" s="142"/>
      <c r="AZ96" s="142"/>
      <c r="BA96" s="142"/>
      <c r="BB96" s="142"/>
      <c r="BC96" s="142"/>
      <c r="BD96" s="142"/>
      <c r="BE96" s="142"/>
      <c r="BF96" s="142"/>
      <c r="BG96" s="142"/>
      <c r="BH96" s="142"/>
      <c r="BI96" s="142"/>
      <c r="BJ96" s="142"/>
      <c r="BK96" s="142"/>
      <c r="BL96" s="142"/>
      <c r="BM96" s="142"/>
      <c r="BN96" s="142"/>
      <c r="BO96" s="142"/>
      <c r="BP96" s="142"/>
      <c r="BQ96" s="142"/>
      <c r="BR96" s="142"/>
      <c r="BS96" s="142"/>
      <c r="BT96" s="142"/>
      <c r="BU96" s="142"/>
      <c r="BV96" s="142"/>
      <c r="BW96" s="142"/>
      <c r="BX96" s="142"/>
      <c r="BY96" s="142"/>
      <c r="BZ96" s="142"/>
      <c r="CA96" s="142"/>
      <c r="CB96" s="142"/>
      <c r="CC96" s="142"/>
      <c r="CD96" s="142"/>
      <c r="CE96" s="142"/>
      <c r="CF96" s="142"/>
      <c r="CG96" s="142"/>
      <c r="CH96" s="142"/>
      <c r="CI96" s="142"/>
      <c r="CJ96" s="142"/>
      <c r="CK96" s="142"/>
      <c r="CL96" s="142"/>
      <c r="CM96" s="142"/>
      <c r="CN96" s="142"/>
      <c r="CO96" s="142"/>
      <c r="CP96" s="142"/>
      <c r="CQ96" s="142"/>
      <c r="CR96" s="142"/>
      <c r="CS96" s="142"/>
      <c r="CT96" s="142"/>
      <c r="CU96" s="142"/>
      <c r="CV96" s="142"/>
      <c r="CW96" s="142"/>
      <c r="CX96" s="142"/>
      <c r="CY96" s="142"/>
      <c r="CZ96" s="142"/>
      <c r="DA96" s="142"/>
      <c r="DB96" s="142"/>
      <c r="DC96" s="142"/>
      <c r="DD96" s="142"/>
      <c r="DE96" s="142"/>
      <c r="DF96" s="142"/>
      <c r="DG96" s="142"/>
      <c r="DH96" s="142"/>
      <c r="DI96" s="142"/>
      <c r="DJ96" s="142"/>
      <c r="DK96" s="142"/>
      <c r="DL96" s="142"/>
      <c r="DM96" s="142"/>
      <c r="DN96" s="142"/>
      <c r="DO96" s="142"/>
      <c r="DP96" s="142"/>
      <c r="DQ96" s="142"/>
      <c r="DR96" s="142"/>
      <c r="DS96" s="142"/>
      <c r="DT96" s="142"/>
      <c r="DU96" s="142"/>
      <c r="DV96" s="142"/>
      <c r="DW96" s="142"/>
      <c r="DX96" s="142"/>
      <c r="DY96" s="142"/>
      <c r="DZ96" s="142"/>
      <c r="EA96" s="142"/>
      <c r="EB96" s="142"/>
      <c r="EC96" s="142"/>
      <c r="ED96" s="142"/>
      <c r="EE96" s="142"/>
      <c r="EF96" s="142"/>
      <c r="EG96" s="142"/>
      <c r="EH96" s="142"/>
      <c r="EI96" s="142"/>
      <c r="EJ96" s="142"/>
      <c r="EK96" s="142"/>
      <c r="EL96" s="142"/>
      <c r="EM96" s="142"/>
      <c r="EN96" s="142"/>
      <c r="EO96" s="142"/>
      <c r="EP96" s="142"/>
      <c r="EQ96" s="142"/>
      <c r="ER96" s="142"/>
      <c r="ES96" s="142"/>
      <c r="ET96" s="142"/>
      <c r="EU96" s="142"/>
      <c r="EV96" s="142"/>
      <c r="EW96" s="142"/>
    </row>
    <row r="97" spans="1:153" s="143" customFormat="1" ht="27" customHeight="1">
      <c r="A97" s="3217" t="s">
        <v>576</v>
      </c>
      <c r="B97" s="3218">
        <f>세입예산총괄표3!B82</f>
        <v>50000000</v>
      </c>
      <c r="C97" s="3219">
        <f t="shared" si="62"/>
        <v>5.7393242542580335E-3</v>
      </c>
      <c r="D97" s="3218">
        <f>세입예산총괄표3!D82</f>
        <v>102724000</v>
      </c>
      <c r="E97" s="3219">
        <f>D97/$D$6</f>
        <v>1.0048952497168218E-2</v>
      </c>
      <c r="F97" s="3220">
        <f t="shared" ref="F97:F100" si="63">B97-D97</f>
        <v>-52724000</v>
      </c>
      <c r="G97" s="3243">
        <f>F97/D97</f>
        <v>-0.51325882948483315</v>
      </c>
      <c r="H97" s="3180" t="s">
        <v>365</v>
      </c>
      <c r="I97" s="3129">
        <f>세출예산총괄표4!B98</f>
        <v>8700000</v>
      </c>
      <c r="J97" s="3183">
        <f t="shared" si="44"/>
        <v>9.9864242024089774E-4</v>
      </c>
      <c r="K97" s="3129">
        <v>7925000</v>
      </c>
      <c r="L97" s="3183">
        <f t="shared" si="45"/>
        <v>7.7526135062833633E-4</v>
      </c>
      <c r="M97" s="3131">
        <f t="shared" si="58"/>
        <v>775000</v>
      </c>
      <c r="N97" s="3132">
        <f t="shared" si="43"/>
        <v>9.7791798107255523E-2</v>
      </c>
      <c r="O97" s="144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  <c r="AT97" s="142"/>
      <c r="AU97" s="142"/>
      <c r="AV97" s="142"/>
      <c r="AW97" s="142"/>
      <c r="AX97" s="142"/>
      <c r="AY97" s="142"/>
      <c r="AZ97" s="142"/>
      <c r="BA97" s="142"/>
      <c r="BB97" s="142"/>
      <c r="BC97" s="142"/>
      <c r="BD97" s="142"/>
      <c r="BE97" s="142"/>
      <c r="BF97" s="142"/>
      <c r="BG97" s="142"/>
      <c r="BH97" s="142"/>
      <c r="BI97" s="142"/>
      <c r="BJ97" s="142"/>
      <c r="BK97" s="142"/>
      <c r="BL97" s="142"/>
      <c r="BM97" s="142"/>
      <c r="BN97" s="142"/>
      <c r="BO97" s="142"/>
      <c r="BP97" s="142"/>
      <c r="BQ97" s="142"/>
      <c r="BR97" s="142"/>
      <c r="BS97" s="142"/>
      <c r="BT97" s="142"/>
      <c r="BU97" s="142"/>
      <c r="BV97" s="142"/>
      <c r="BW97" s="142"/>
      <c r="BX97" s="142"/>
      <c r="BY97" s="142"/>
      <c r="BZ97" s="142"/>
      <c r="CA97" s="142"/>
      <c r="CB97" s="142"/>
      <c r="CC97" s="142"/>
      <c r="CD97" s="142"/>
      <c r="CE97" s="142"/>
      <c r="CF97" s="142"/>
      <c r="CG97" s="142"/>
      <c r="CH97" s="142"/>
      <c r="CI97" s="142"/>
      <c r="CJ97" s="142"/>
      <c r="CK97" s="142"/>
      <c r="CL97" s="142"/>
      <c r="CM97" s="142"/>
      <c r="CN97" s="142"/>
      <c r="CO97" s="142"/>
      <c r="CP97" s="142"/>
      <c r="CQ97" s="142"/>
      <c r="CR97" s="142"/>
      <c r="CS97" s="142"/>
      <c r="CT97" s="142"/>
      <c r="CU97" s="142"/>
      <c r="CV97" s="142"/>
      <c r="CW97" s="142"/>
      <c r="CX97" s="142"/>
      <c r="CY97" s="142"/>
      <c r="CZ97" s="142"/>
      <c r="DA97" s="142"/>
      <c r="DB97" s="142"/>
      <c r="DC97" s="142"/>
      <c r="DD97" s="142"/>
      <c r="DE97" s="142"/>
      <c r="DF97" s="142"/>
      <c r="DG97" s="142"/>
      <c r="DH97" s="142"/>
      <c r="DI97" s="142"/>
      <c r="DJ97" s="142"/>
      <c r="DK97" s="142"/>
      <c r="DL97" s="142"/>
      <c r="DM97" s="142"/>
      <c r="DN97" s="142"/>
      <c r="DO97" s="142"/>
      <c r="DP97" s="142"/>
      <c r="DQ97" s="142"/>
      <c r="DR97" s="142"/>
      <c r="DS97" s="142"/>
      <c r="DT97" s="142"/>
      <c r="DU97" s="142"/>
      <c r="DV97" s="142"/>
      <c r="DW97" s="142"/>
      <c r="DX97" s="142"/>
      <c r="DY97" s="142"/>
      <c r="DZ97" s="142"/>
      <c r="EA97" s="142"/>
      <c r="EB97" s="142"/>
      <c r="EC97" s="142"/>
      <c r="ED97" s="142"/>
      <c r="EE97" s="142"/>
      <c r="EF97" s="142"/>
      <c r="EG97" s="142"/>
      <c r="EH97" s="142"/>
      <c r="EI97" s="142"/>
      <c r="EJ97" s="142"/>
      <c r="EK97" s="142"/>
      <c r="EL97" s="142"/>
      <c r="EM97" s="142"/>
      <c r="EN97" s="142"/>
      <c r="EO97" s="142"/>
      <c r="EP97" s="142"/>
      <c r="EQ97" s="142"/>
      <c r="ER97" s="142"/>
      <c r="ES97" s="142"/>
      <c r="ET97" s="142"/>
      <c r="EU97" s="142"/>
      <c r="EV97" s="142"/>
      <c r="EW97" s="142"/>
    </row>
    <row r="98" spans="1:153" s="143" customFormat="1" ht="27" customHeight="1">
      <c r="A98" s="3223" t="s">
        <v>578</v>
      </c>
      <c r="B98" s="380">
        <f>세입예산총괄표3!B83</f>
        <v>0</v>
      </c>
      <c r="C98" s="381">
        <f t="shared" si="62"/>
        <v>0</v>
      </c>
      <c r="D98" s="380">
        <f>세입예산총괄표3!D83</f>
        <v>1316000</v>
      </c>
      <c r="E98" s="381">
        <f>D98/$D$6</f>
        <v>1.287374078722925E-4</v>
      </c>
      <c r="F98" s="382">
        <f t="shared" si="63"/>
        <v>-1316000</v>
      </c>
      <c r="G98" s="383">
        <f t="shared" ref="G98:G100" si="64">F98/D98</f>
        <v>-1</v>
      </c>
      <c r="H98" s="3226" t="s">
        <v>405</v>
      </c>
      <c r="I98" s="3144">
        <f>세출예산총괄표4!B99</f>
        <v>4960000</v>
      </c>
      <c r="J98" s="3189">
        <f t="shared" si="44"/>
        <v>5.6934096602239694E-4</v>
      </c>
      <c r="K98" s="3144">
        <v>18800000</v>
      </c>
      <c r="L98" s="3189">
        <f t="shared" si="45"/>
        <v>1.8391057907650124E-3</v>
      </c>
      <c r="M98" s="3145">
        <f t="shared" si="58"/>
        <v>-13840000</v>
      </c>
      <c r="N98" s="3135">
        <f t="shared" si="43"/>
        <v>-0.7361702127659574</v>
      </c>
      <c r="O98" s="144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  <c r="AT98" s="142"/>
      <c r="AU98" s="142"/>
      <c r="AV98" s="142"/>
      <c r="AW98" s="142"/>
      <c r="AX98" s="142"/>
      <c r="AY98" s="142"/>
      <c r="AZ98" s="142"/>
      <c r="BA98" s="142"/>
      <c r="BB98" s="142"/>
      <c r="BC98" s="142"/>
      <c r="BD98" s="142"/>
      <c r="BE98" s="142"/>
      <c r="BF98" s="142"/>
      <c r="BG98" s="142"/>
      <c r="BH98" s="142"/>
      <c r="BI98" s="142"/>
      <c r="BJ98" s="142"/>
      <c r="BK98" s="142"/>
      <c r="BL98" s="142"/>
      <c r="BM98" s="142"/>
      <c r="BN98" s="142"/>
      <c r="BO98" s="142"/>
      <c r="BP98" s="142"/>
      <c r="BQ98" s="142"/>
      <c r="BR98" s="142"/>
      <c r="BS98" s="142"/>
      <c r="BT98" s="142"/>
      <c r="BU98" s="142"/>
      <c r="BV98" s="142"/>
      <c r="BW98" s="142"/>
      <c r="BX98" s="142"/>
      <c r="BY98" s="142"/>
      <c r="BZ98" s="142"/>
      <c r="CA98" s="142"/>
      <c r="CB98" s="142"/>
      <c r="CC98" s="142"/>
      <c r="CD98" s="142"/>
      <c r="CE98" s="142"/>
      <c r="CF98" s="142"/>
      <c r="CG98" s="142"/>
      <c r="CH98" s="142"/>
      <c r="CI98" s="142"/>
      <c r="CJ98" s="142"/>
      <c r="CK98" s="142"/>
      <c r="CL98" s="142"/>
      <c r="CM98" s="142"/>
      <c r="CN98" s="142"/>
      <c r="CO98" s="142"/>
      <c r="CP98" s="142"/>
      <c r="CQ98" s="142"/>
      <c r="CR98" s="142"/>
      <c r="CS98" s="142"/>
      <c r="CT98" s="142"/>
      <c r="CU98" s="142"/>
      <c r="CV98" s="142"/>
      <c r="CW98" s="142"/>
      <c r="CX98" s="142"/>
      <c r="CY98" s="142"/>
      <c r="CZ98" s="142"/>
      <c r="DA98" s="142"/>
      <c r="DB98" s="142"/>
      <c r="DC98" s="142"/>
      <c r="DD98" s="142"/>
      <c r="DE98" s="142"/>
      <c r="DF98" s="142"/>
      <c r="DG98" s="142"/>
      <c r="DH98" s="142"/>
      <c r="DI98" s="142"/>
      <c r="DJ98" s="142"/>
      <c r="DK98" s="142"/>
      <c r="DL98" s="142"/>
      <c r="DM98" s="142"/>
      <c r="DN98" s="142"/>
      <c r="DO98" s="142"/>
      <c r="DP98" s="142"/>
      <c r="DQ98" s="142"/>
      <c r="DR98" s="142"/>
      <c r="DS98" s="142"/>
      <c r="DT98" s="142"/>
      <c r="DU98" s="142"/>
      <c r="DV98" s="142"/>
      <c r="DW98" s="142"/>
      <c r="DX98" s="142"/>
      <c r="DY98" s="142"/>
      <c r="DZ98" s="142"/>
      <c r="EA98" s="142"/>
      <c r="EB98" s="142"/>
      <c r="EC98" s="142"/>
      <c r="ED98" s="142"/>
      <c r="EE98" s="142"/>
      <c r="EF98" s="142"/>
      <c r="EG98" s="142"/>
      <c r="EH98" s="142"/>
      <c r="EI98" s="142"/>
      <c r="EJ98" s="142"/>
      <c r="EK98" s="142"/>
      <c r="EL98" s="142"/>
      <c r="EM98" s="142"/>
      <c r="EN98" s="142"/>
      <c r="EO98" s="142"/>
      <c r="EP98" s="142"/>
      <c r="EQ98" s="142"/>
      <c r="ER98" s="142"/>
      <c r="ES98" s="142"/>
      <c r="ET98" s="142"/>
      <c r="EU98" s="142"/>
      <c r="EV98" s="142"/>
      <c r="EW98" s="142"/>
    </row>
    <row r="99" spans="1:153" s="143" customFormat="1" ht="27" customHeight="1">
      <c r="A99" s="3223" t="s">
        <v>580</v>
      </c>
      <c r="B99" s="380">
        <f>세입예산총괄표3!B84</f>
        <v>11030000</v>
      </c>
      <c r="C99" s="381">
        <f t="shared" si="62"/>
        <v>1.2660949304893223E-3</v>
      </c>
      <c r="D99" s="380">
        <f>세입예산총괄표3!D84</f>
        <v>13638000</v>
      </c>
      <c r="E99" s="381">
        <f t="shared" ref="E99:E105" si="65">D99/$D$6</f>
        <v>1.3341343226157484E-3</v>
      </c>
      <c r="F99" s="382">
        <f t="shared" si="63"/>
        <v>-2608000</v>
      </c>
      <c r="G99" s="383">
        <f t="shared" si="64"/>
        <v>-0.19123038568705089</v>
      </c>
      <c r="H99" s="3172" t="s">
        <v>692</v>
      </c>
      <c r="I99" s="279">
        <f>SUM(I100:I108)</f>
        <v>1604770000</v>
      </c>
      <c r="J99" s="367">
        <f>I99/$I$6</f>
        <v>0.18420590767011327</v>
      </c>
      <c r="K99" s="279">
        <f>SUM(K100:K108)</f>
        <v>1254664000</v>
      </c>
      <c r="L99" s="280">
        <f>K99/$K$6</f>
        <v>0.12273722488640391</v>
      </c>
      <c r="M99" s="281">
        <f>SUM(M100:M108)</f>
        <v>350106000</v>
      </c>
      <c r="N99" s="282">
        <f t="shared" ref="N99:N136" si="66">+M99/K99</f>
        <v>0.2790436323987936</v>
      </c>
      <c r="O99" s="144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  <c r="AT99" s="142"/>
      <c r="AU99" s="142"/>
      <c r="AV99" s="142"/>
      <c r="AW99" s="142"/>
      <c r="AX99" s="142"/>
      <c r="AY99" s="142"/>
      <c r="AZ99" s="142"/>
      <c r="BA99" s="142"/>
      <c r="BB99" s="142"/>
      <c r="BC99" s="142"/>
      <c r="BD99" s="142"/>
      <c r="BE99" s="142"/>
      <c r="BF99" s="142"/>
      <c r="BG99" s="142"/>
      <c r="BH99" s="142"/>
      <c r="BI99" s="142"/>
      <c r="BJ99" s="142"/>
      <c r="BK99" s="142"/>
      <c r="BL99" s="142"/>
      <c r="BM99" s="142"/>
      <c r="BN99" s="142"/>
      <c r="BO99" s="142"/>
      <c r="BP99" s="142"/>
      <c r="BQ99" s="142"/>
      <c r="BR99" s="142"/>
      <c r="BS99" s="142"/>
      <c r="BT99" s="142"/>
      <c r="BU99" s="142"/>
      <c r="BV99" s="142"/>
      <c r="BW99" s="142"/>
      <c r="BX99" s="142"/>
      <c r="BY99" s="142"/>
      <c r="BZ99" s="142"/>
      <c r="CA99" s="142"/>
      <c r="CB99" s="142"/>
      <c r="CC99" s="142"/>
      <c r="CD99" s="142"/>
      <c r="CE99" s="142"/>
      <c r="CF99" s="142"/>
      <c r="CG99" s="142"/>
      <c r="CH99" s="142"/>
      <c r="CI99" s="142"/>
      <c r="CJ99" s="142"/>
      <c r="CK99" s="142"/>
      <c r="CL99" s="142"/>
      <c r="CM99" s="142"/>
      <c r="CN99" s="142"/>
      <c r="CO99" s="142"/>
      <c r="CP99" s="142"/>
      <c r="CQ99" s="142"/>
      <c r="CR99" s="142"/>
      <c r="CS99" s="142"/>
      <c r="CT99" s="142"/>
      <c r="CU99" s="142"/>
      <c r="CV99" s="142"/>
      <c r="CW99" s="142"/>
      <c r="CX99" s="142"/>
      <c r="CY99" s="142"/>
      <c r="CZ99" s="142"/>
      <c r="DA99" s="142"/>
      <c r="DB99" s="142"/>
      <c r="DC99" s="142"/>
      <c r="DD99" s="142"/>
      <c r="DE99" s="142"/>
      <c r="DF99" s="142"/>
      <c r="DG99" s="142"/>
      <c r="DH99" s="142"/>
      <c r="DI99" s="142"/>
      <c r="DJ99" s="142"/>
      <c r="DK99" s="142"/>
      <c r="DL99" s="142"/>
      <c r="DM99" s="142"/>
      <c r="DN99" s="142"/>
      <c r="DO99" s="142"/>
      <c r="DP99" s="142"/>
      <c r="DQ99" s="142"/>
      <c r="DR99" s="142"/>
      <c r="DS99" s="142"/>
      <c r="DT99" s="142"/>
      <c r="DU99" s="142"/>
      <c r="DV99" s="142"/>
      <c r="DW99" s="142"/>
      <c r="DX99" s="142"/>
      <c r="DY99" s="142"/>
      <c r="DZ99" s="142"/>
      <c r="EA99" s="142"/>
      <c r="EB99" s="142"/>
      <c r="EC99" s="142"/>
      <c r="ED99" s="142"/>
      <c r="EE99" s="142"/>
      <c r="EF99" s="142"/>
      <c r="EG99" s="142"/>
      <c r="EH99" s="142"/>
      <c r="EI99" s="142"/>
      <c r="EJ99" s="142"/>
      <c r="EK99" s="142"/>
      <c r="EL99" s="142"/>
      <c r="EM99" s="142"/>
      <c r="EN99" s="142"/>
      <c r="EO99" s="142"/>
      <c r="EP99" s="142"/>
      <c r="EQ99" s="142"/>
      <c r="ER99" s="142"/>
      <c r="ES99" s="142"/>
      <c r="ET99" s="142"/>
      <c r="EU99" s="142"/>
      <c r="EV99" s="142"/>
      <c r="EW99" s="142"/>
    </row>
    <row r="100" spans="1:153" s="143" customFormat="1" ht="27" customHeight="1">
      <c r="A100" s="3223" t="s">
        <v>582</v>
      </c>
      <c r="B100" s="380">
        <f>세입예산총괄표3!B85</f>
        <v>15360000</v>
      </c>
      <c r="C100" s="381">
        <f t="shared" si="62"/>
        <v>1.763120410908068E-3</v>
      </c>
      <c r="D100" s="380">
        <f>세입예산총괄표3!D85</f>
        <v>18064000</v>
      </c>
      <c r="E100" s="381">
        <f t="shared" si="65"/>
        <v>1.7671067901254495E-3</v>
      </c>
      <c r="F100" s="382">
        <f t="shared" si="63"/>
        <v>-2704000</v>
      </c>
      <c r="G100" s="383">
        <f t="shared" si="64"/>
        <v>-0.14968999114260406</v>
      </c>
      <c r="H100" s="3222" t="s">
        <v>573</v>
      </c>
      <c r="I100" s="3139">
        <f>세출예산총괄표4!B101</f>
        <v>497876000</v>
      </c>
      <c r="J100" s="3183">
        <f t="shared" si="44"/>
        <v>5.714943604825945E-2</v>
      </c>
      <c r="K100" s="3139">
        <v>432950000</v>
      </c>
      <c r="L100" s="3183">
        <f t="shared" si="45"/>
        <v>4.2353236814452772E-2</v>
      </c>
      <c r="M100" s="3141">
        <f t="shared" ref="M100:M108" si="67">+I100-K100</f>
        <v>64926000</v>
      </c>
      <c r="N100" s="3142">
        <f t="shared" si="66"/>
        <v>0.14996188936366786</v>
      </c>
      <c r="O100" s="144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  <c r="AT100" s="142"/>
      <c r="AU100" s="142"/>
      <c r="AV100" s="142"/>
      <c r="AW100" s="142"/>
      <c r="AX100" s="142"/>
      <c r="AY100" s="142"/>
      <c r="AZ100" s="142"/>
      <c r="BA100" s="142"/>
      <c r="BB100" s="142"/>
      <c r="BC100" s="142"/>
      <c r="BD100" s="142"/>
      <c r="BE100" s="142"/>
      <c r="BF100" s="142"/>
      <c r="BG100" s="142"/>
      <c r="BH100" s="142"/>
      <c r="BI100" s="142"/>
      <c r="BJ100" s="142"/>
      <c r="BK100" s="142"/>
      <c r="BL100" s="142"/>
      <c r="BM100" s="142"/>
      <c r="BN100" s="142"/>
      <c r="BO100" s="142"/>
      <c r="BP100" s="142"/>
      <c r="BQ100" s="142"/>
      <c r="BR100" s="142"/>
      <c r="BS100" s="142"/>
      <c r="BT100" s="142"/>
      <c r="BU100" s="142"/>
      <c r="BV100" s="142"/>
      <c r="BW100" s="142"/>
      <c r="BX100" s="142"/>
      <c r="BY100" s="142"/>
      <c r="BZ100" s="142"/>
      <c r="CA100" s="142"/>
      <c r="CB100" s="142"/>
      <c r="CC100" s="142"/>
      <c r="CD100" s="142"/>
      <c r="CE100" s="142"/>
      <c r="CF100" s="142"/>
      <c r="CG100" s="142"/>
      <c r="CH100" s="142"/>
      <c r="CI100" s="142"/>
      <c r="CJ100" s="142"/>
      <c r="CK100" s="142"/>
      <c r="CL100" s="142"/>
      <c r="CM100" s="142"/>
      <c r="CN100" s="142"/>
      <c r="CO100" s="142"/>
      <c r="CP100" s="142"/>
      <c r="CQ100" s="142"/>
      <c r="CR100" s="142"/>
      <c r="CS100" s="142"/>
      <c r="CT100" s="142"/>
      <c r="CU100" s="142"/>
      <c r="CV100" s="142"/>
      <c r="CW100" s="142"/>
      <c r="CX100" s="142"/>
      <c r="CY100" s="142"/>
      <c r="CZ100" s="142"/>
      <c r="DA100" s="142"/>
      <c r="DB100" s="142"/>
      <c r="DC100" s="142"/>
      <c r="DD100" s="142"/>
      <c r="DE100" s="142"/>
      <c r="DF100" s="142"/>
      <c r="DG100" s="142"/>
      <c r="DH100" s="142"/>
      <c r="DI100" s="142"/>
      <c r="DJ100" s="142"/>
      <c r="DK100" s="142"/>
      <c r="DL100" s="142"/>
      <c r="DM100" s="142"/>
      <c r="DN100" s="142"/>
      <c r="DO100" s="142"/>
      <c r="DP100" s="142"/>
      <c r="DQ100" s="142"/>
      <c r="DR100" s="142"/>
      <c r="DS100" s="142"/>
      <c r="DT100" s="142"/>
      <c r="DU100" s="142"/>
      <c r="DV100" s="142"/>
      <c r="DW100" s="142"/>
      <c r="DX100" s="142"/>
      <c r="DY100" s="142"/>
      <c r="DZ100" s="142"/>
      <c r="EA100" s="142"/>
      <c r="EB100" s="142"/>
      <c r="EC100" s="142"/>
      <c r="ED100" s="142"/>
      <c r="EE100" s="142"/>
      <c r="EF100" s="142"/>
      <c r="EG100" s="142"/>
      <c r="EH100" s="142"/>
      <c r="EI100" s="142"/>
      <c r="EJ100" s="142"/>
      <c r="EK100" s="142"/>
      <c r="EL100" s="142"/>
      <c r="EM100" s="142"/>
      <c r="EN100" s="142"/>
      <c r="EO100" s="142"/>
      <c r="EP100" s="142"/>
      <c r="EQ100" s="142"/>
      <c r="ER100" s="142"/>
      <c r="ES100" s="142"/>
      <c r="ET100" s="142"/>
      <c r="EU100" s="142"/>
      <c r="EV100" s="142"/>
      <c r="EW100" s="142"/>
    </row>
    <row r="101" spans="1:153" s="143" customFormat="1" ht="27" customHeight="1">
      <c r="A101" s="3223" t="s">
        <v>584</v>
      </c>
      <c r="B101" s="380">
        <f>세입예산총괄표3!B86</f>
        <v>0</v>
      </c>
      <c r="C101" s="381">
        <f t="shared" si="62"/>
        <v>0</v>
      </c>
      <c r="D101" s="380">
        <f>세입예산총괄표3!D86</f>
        <v>2482000</v>
      </c>
      <c r="E101" s="381">
        <f t="shared" si="65"/>
        <v>2.4280109904181607E-4</v>
      </c>
      <c r="F101" s="382">
        <f t="shared" ref="F101:F105" si="68">B101-D101</f>
        <v>-2482000</v>
      </c>
      <c r="G101" s="383">
        <f t="shared" ref="G101" si="69">F101/D101</f>
        <v>-1</v>
      </c>
      <c r="H101" s="3225" t="s">
        <v>270</v>
      </c>
      <c r="I101" s="3129">
        <f>세출예산총괄표4!B102</f>
        <v>12428000</v>
      </c>
      <c r="J101" s="3183">
        <f t="shared" si="44"/>
        <v>1.4265664366383767E-3</v>
      </c>
      <c r="K101" s="3129">
        <v>0</v>
      </c>
      <c r="L101" s="3183">
        <f t="shared" si="45"/>
        <v>0</v>
      </c>
      <c r="M101" s="3131">
        <f t="shared" si="67"/>
        <v>12428000</v>
      </c>
      <c r="N101" s="3132"/>
      <c r="O101" s="144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/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  <c r="AT101" s="142"/>
      <c r="AU101" s="142"/>
      <c r="AV101" s="142"/>
      <c r="AW101" s="142"/>
      <c r="AX101" s="142"/>
      <c r="AY101" s="142"/>
      <c r="AZ101" s="142"/>
      <c r="BA101" s="142"/>
      <c r="BB101" s="142"/>
      <c r="BC101" s="142"/>
      <c r="BD101" s="142"/>
      <c r="BE101" s="142"/>
      <c r="BF101" s="142"/>
      <c r="BG101" s="142"/>
      <c r="BH101" s="142"/>
      <c r="BI101" s="142"/>
      <c r="BJ101" s="142"/>
      <c r="BK101" s="142"/>
      <c r="BL101" s="142"/>
      <c r="BM101" s="142"/>
      <c r="BN101" s="142"/>
      <c r="BO101" s="142"/>
      <c r="BP101" s="142"/>
      <c r="BQ101" s="142"/>
      <c r="BR101" s="142"/>
      <c r="BS101" s="142"/>
      <c r="BT101" s="142"/>
      <c r="BU101" s="142"/>
      <c r="BV101" s="142"/>
      <c r="BW101" s="142"/>
      <c r="BX101" s="142"/>
      <c r="BY101" s="142"/>
      <c r="BZ101" s="142"/>
      <c r="CA101" s="142"/>
      <c r="CB101" s="142"/>
      <c r="CC101" s="142"/>
      <c r="CD101" s="142"/>
      <c r="CE101" s="142"/>
      <c r="CF101" s="142"/>
      <c r="CG101" s="142"/>
      <c r="CH101" s="142"/>
      <c r="CI101" s="142"/>
      <c r="CJ101" s="142"/>
      <c r="CK101" s="142"/>
      <c r="CL101" s="142"/>
      <c r="CM101" s="142"/>
      <c r="CN101" s="142"/>
      <c r="CO101" s="142"/>
      <c r="CP101" s="142"/>
      <c r="CQ101" s="142"/>
      <c r="CR101" s="142"/>
      <c r="CS101" s="142"/>
      <c r="CT101" s="142"/>
      <c r="CU101" s="142"/>
      <c r="CV101" s="142"/>
      <c r="CW101" s="142"/>
      <c r="CX101" s="142"/>
      <c r="CY101" s="142"/>
      <c r="CZ101" s="142"/>
      <c r="DA101" s="142"/>
      <c r="DB101" s="142"/>
      <c r="DC101" s="142"/>
      <c r="DD101" s="142"/>
      <c r="DE101" s="142"/>
      <c r="DF101" s="142"/>
      <c r="DG101" s="142"/>
      <c r="DH101" s="142"/>
      <c r="DI101" s="142"/>
      <c r="DJ101" s="142"/>
      <c r="DK101" s="142"/>
      <c r="DL101" s="142"/>
      <c r="DM101" s="142"/>
      <c r="DN101" s="142"/>
      <c r="DO101" s="142"/>
      <c r="DP101" s="142"/>
      <c r="DQ101" s="142"/>
      <c r="DR101" s="142"/>
      <c r="DS101" s="142"/>
      <c r="DT101" s="142"/>
      <c r="DU101" s="142"/>
      <c r="DV101" s="142"/>
      <c r="DW101" s="142"/>
      <c r="DX101" s="142"/>
      <c r="DY101" s="142"/>
      <c r="DZ101" s="142"/>
      <c r="EA101" s="142"/>
      <c r="EB101" s="142"/>
      <c r="EC101" s="142"/>
      <c r="ED101" s="142"/>
      <c r="EE101" s="142"/>
      <c r="EF101" s="142"/>
      <c r="EG101" s="142"/>
      <c r="EH101" s="142"/>
      <c r="EI101" s="142"/>
      <c r="EJ101" s="142"/>
      <c r="EK101" s="142"/>
      <c r="EL101" s="142"/>
      <c r="EM101" s="142"/>
      <c r="EN101" s="142"/>
      <c r="EO101" s="142"/>
      <c r="EP101" s="142"/>
      <c r="EQ101" s="142"/>
      <c r="ER101" s="142"/>
      <c r="ES101" s="142"/>
      <c r="ET101" s="142"/>
      <c r="EU101" s="142"/>
      <c r="EV101" s="142"/>
      <c r="EW101" s="142"/>
    </row>
    <row r="102" spans="1:153" s="143" customFormat="1" ht="27" customHeight="1">
      <c r="A102" s="3223" t="s">
        <v>583</v>
      </c>
      <c r="B102" s="380">
        <f>세입예산총괄표3!B87</f>
        <v>24300000</v>
      </c>
      <c r="C102" s="381">
        <f t="shared" si="62"/>
        <v>2.7893115875694042E-3</v>
      </c>
      <c r="D102" s="380">
        <f>세입예산총괄표3!D87</f>
        <v>0</v>
      </c>
      <c r="E102" s="381">
        <f t="shared" si="65"/>
        <v>0</v>
      </c>
      <c r="F102" s="382">
        <f t="shared" si="68"/>
        <v>24300000</v>
      </c>
      <c r="G102" s="383"/>
      <c r="H102" s="3180" t="s">
        <v>312</v>
      </c>
      <c r="I102" s="3129">
        <f>세출예산총괄표4!B103</f>
        <v>95204000</v>
      </c>
      <c r="J102" s="3183">
        <f t="shared" si="44"/>
        <v>1.0928132526047636E-2</v>
      </c>
      <c r="K102" s="3129">
        <v>82400000</v>
      </c>
      <c r="L102" s="3183">
        <f t="shared" si="45"/>
        <v>8.0607615510126084E-3</v>
      </c>
      <c r="M102" s="3131">
        <f t="shared" si="67"/>
        <v>12804000</v>
      </c>
      <c r="N102" s="3132">
        <f t="shared" si="66"/>
        <v>0.1553883495145631</v>
      </c>
      <c r="O102" s="144"/>
      <c r="P102" s="142"/>
      <c r="Q102" s="142"/>
      <c r="R102" s="142"/>
      <c r="S102" s="142"/>
      <c r="T102" s="142"/>
      <c r="U102" s="142"/>
      <c r="V102" s="142"/>
      <c r="W102" s="142"/>
      <c r="X102" s="142"/>
      <c r="Y102" s="142"/>
      <c r="Z102" s="142"/>
      <c r="AA102" s="142"/>
      <c r="AB102" s="142"/>
      <c r="AC102" s="142"/>
      <c r="AD102" s="142"/>
      <c r="AE102" s="142"/>
      <c r="AF102" s="142"/>
      <c r="AG102" s="142"/>
      <c r="AH102" s="142"/>
      <c r="AI102" s="142"/>
      <c r="AJ102" s="142"/>
      <c r="AK102" s="142"/>
      <c r="AL102" s="142"/>
      <c r="AM102" s="142"/>
      <c r="AN102" s="142"/>
      <c r="AO102" s="142"/>
      <c r="AP102" s="142"/>
      <c r="AQ102" s="142"/>
      <c r="AR102" s="142"/>
      <c r="AS102" s="142"/>
      <c r="AT102" s="142"/>
      <c r="AU102" s="142"/>
      <c r="AV102" s="142"/>
      <c r="AW102" s="142"/>
      <c r="AX102" s="142"/>
      <c r="AY102" s="142"/>
      <c r="AZ102" s="142"/>
      <c r="BA102" s="142"/>
      <c r="BB102" s="142"/>
      <c r="BC102" s="142"/>
      <c r="BD102" s="142"/>
      <c r="BE102" s="142"/>
      <c r="BF102" s="142"/>
      <c r="BG102" s="142"/>
      <c r="BH102" s="142"/>
      <c r="BI102" s="142"/>
      <c r="BJ102" s="142"/>
      <c r="BK102" s="142"/>
      <c r="BL102" s="142"/>
      <c r="BM102" s="142"/>
      <c r="BN102" s="142"/>
      <c r="BO102" s="142"/>
      <c r="BP102" s="142"/>
      <c r="BQ102" s="142"/>
      <c r="BR102" s="142"/>
      <c r="BS102" s="142"/>
      <c r="BT102" s="142"/>
      <c r="BU102" s="142"/>
      <c r="BV102" s="142"/>
      <c r="BW102" s="142"/>
      <c r="BX102" s="142"/>
      <c r="BY102" s="142"/>
      <c r="BZ102" s="142"/>
      <c r="CA102" s="142"/>
      <c r="CB102" s="142"/>
      <c r="CC102" s="142"/>
      <c r="CD102" s="142"/>
      <c r="CE102" s="142"/>
      <c r="CF102" s="142"/>
      <c r="CG102" s="142"/>
      <c r="CH102" s="142"/>
      <c r="CI102" s="142"/>
      <c r="CJ102" s="142"/>
      <c r="CK102" s="142"/>
      <c r="CL102" s="142"/>
      <c r="CM102" s="142"/>
      <c r="CN102" s="142"/>
      <c r="CO102" s="142"/>
      <c r="CP102" s="142"/>
      <c r="CQ102" s="142"/>
      <c r="CR102" s="142"/>
      <c r="CS102" s="142"/>
      <c r="CT102" s="142"/>
      <c r="CU102" s="142"/>
      <c r="CV102" s="142"/>
      <c r="CW102" s="142"/>
      <c r="CX102" s="142"/>
      <c r="CY102" s="142"/>
      <c r="CZ102" s="142"/>
      <c r="DA102" s="142"/>
      <c r="DB102" s="142"/>
      <c r="DC102" s="142"/>
      <c r="DD102" s="142"/>
      <c r="DE102" s="142"/>
      <c r="DF102" s="142"/>
      <c r="DG102" s="142"/>
      <c r="DH102" s="142"/>
      <c r="DI102" s="142"/>
      <c r="DJ102" s="142"/>
      <c r="DK102" s="142"/>
      <c r="DL102" s="142"/>
      <c r="DM102" s="142"/>
      <c r="DN102" s="142"/>
      <c r="DO102" s="142"/>
      <c r="DP102" s="142"/>
      <c r="DQ102" s="142"/>
      <c r="DR102" s="142"/>
      <c r="DS102" s="142"/>
      <c r="DT102" s="142"/>
      <c r="DU102" s="142"/>
      <c r="DV102" s="142"/>
      <c r="DW102" s="142"/>
      <c r="DX102" s="142"/>
      <c r="DY102" s="142"/>
      <c r="DZ102" s="142"/>
      <c r="EA102" s="142"/>
      <c r="EB102" s="142"/>
      <c r="EC102" s="142"/>
      <c r="ED102" s="142"/>
      <c r="EE102" s="142"/>
      <c r="EF102" s="142"/>
      <c r="EG102" s="142"/>
      <c r="EH102" s="142"/>
      <c r="EI102" s="142"/>
      <c r="EJ102" s="142"/>
      <c r="EK102" s="142"/>
      <c r="EL102" s="142"/>
      <c r="EM102" s="142"/>
      <c r="EN102" s="142"/>
      <c r="EO102" s="142"/>
      <c r="EP102" s="142"/>
      <c r="EQ102" s="142"/>
      <c r="ER102" s="142"/>
      <c r="ES102" s="142"/>
      <c r="ET102" s="142"/>
      <c r="EU102" s="142"/>
      <c r="EV102" s="142"/>
      <c r="EW102" s="142"/>
    </row>
    <row r="103" spans="1:153" s="143" customFormat="1" ht="27" customHeight="1">
      <c r="A103" s="3223" t="s">
        <v>585</v>
      </c>
      <c r="B103" s="380">
        <f>세입예산총괄표3!B88</f>
        <v>26150000</v>
      </c>
      <c r="C103" s="381">
        <f t="shared" si="62"/>
        <v>3.0016665849769515E-3</v>
      </c>
      <c r="D103" s="380">
        <v>0</v>
      </c>
      <c r="E103" s="381">
        <f t="shared" si="65"/>
        <v>0</v>
      </c>
      <c r="F103" s="382">
        <f t="shared" si="68"/>
        <v>26150000</v>
      </c>
      <c r="G103" s="383"/>
      <c r="H103" s="3180" t="s">
        <v>2079</v>
      </c>
      <c r="I103" s="3129">
        <f>세출예산총괄표4!B104</f>
        <v>367993000</v>
      </c>
      <c r="J103" s="3183">
        <f t="shared" si="44"/>
        <v>4.2240623005943528E-2</v>
      </c>
      <c r="K103" s="3129">
        <v>87732000</v>
      </c>
      <c r="L103" s="3183">
        <f t="shared" si="45"/>
        <v>8.5823632572019186E-3</v>
      </c>
      <c r="M103" s="3131">
        <f t="shared" si="67"/>
        <v>280261000</v>
      </c>
      <c r="N103" s="3132">
        <f t="shared" si="66"/>
        <v>3.1945128345415585</v>
      </c>
      <c r="O103" s="144"/>
      <c r="P103" s="142"/>
      <c r="Q103" s="142"/>
      <c r="R103" s="142"/>
      <c r="S103" s="142"/>
      <c r="T103" s="142"/>
      <c r="U103" s="142"/>
      <c r="V103" s="142"/>
      <c r="W103" s="142"/>
      <c r="X103" s="142"/>
      <c r="Y103" s="142"/>
      <c r="Z103" s="142"/>
      <c r="AA103" s="142"/>
      <c r="AB103" s="142"/>
      <c r="AC103" s="142"/>
      <c r="AD103" s="142"/>
      <c r="AE103" s="142"/>
      <c r="AF103" s="142"/>
      <c r="AG103" s="142"/>
      <c r="AH103" s="142"/>
      <c r="AI103" s="142"/>
      <c r="AJ103" s="142"/>
      <c r="AK103" s="142"/>
      <c r="AL103" s="142"/>
      <c r="AM103" s="142"/>
      <c r="AN103" s="142"/>
      <c r="AO103" s="142"/>
      <c r="AP103" s="142"/>
      <c r="AQ103" s="142"/>
      <c r="AR103" s="142"/>
      <c r="AS103" s="142"/>
      <c r="AT103" s="142"/>
      <c r="AU103" s="142"/>
      <c r="AV103" s="142"/>
      <c r="AW103" s="142"/>
      <c r="AX103" s="142"/>
      <c r="AY103" s="142"/>
      <c r="AZ103" s="142"/>
      <c r="BA103" s="142"/>
      <c r="BB103" s="142"/>
      <c r="BC103" s="142"/>
      <c r="BD103" s="142"/>
      <c r="BE103" s="142"/>
      <c r="BF103" s="142"/>
      <c r="BG103" s="142"/>
      <c r="BH103" s="142"/>
      <c r="BI103" s="142"/>
      <c r="BJ103" s="142"/>
      <c r="BK103" s="142"/>
      <c r="BL103" s="142"/>
      <c r="BM103" s="142"/>
      <c r="BN103" s="142"/>
      <c r="BO103" s="142"/>
      <c r="BP103" s="142"/>
      <c r="BQ103" s="142"/>
      <c r="BR103" s="142"/>
      <c r="BS103" s="142"/>
      <c r="BT103" s="142"/>
      <c r="BU103" s="142"/>
      <c r="BV103" s="142"/>
      <c r="BW103" s="142"/>
      <c r="BX103" s="142"/>
      <c r="BY103" s="142"/>
      <c r="BZ103" s="142"/>
      <c r="CA103" s="142"/>
      <c r="CB103" s="142"/>
      <c r="CC103" s="142"/>
      <c r="CD103" s="142"/>
      <c r="CE103" s="142"/>
      <c r="CF103" s="142"/>
      <c r="CG103" s="142"/>
      <c r="CH103" s="142"/>
      <c r="CI103" s="142"/>
      <c r="CJ103" s="142"/>
      <c r="CK103" s="142"/>
      <c r="CL103" s="142"/>
      <c r="CM103" s="142"/>
      <c r="CN103" s="142"/>
      <c r="CO103" s="142"/>
      <c r="CP103" s="142"/>
      <c r="CQ103" s="142"/>
      <c r="CR103" s="142"/>
      <c r="CS103" s="142"/>
      <c r="CT103" s="142"/>
      <c r="CU103" s="142"/>
      <c r="CV103" s="142"/>
      <c r="CW103" s="142"/>
      <c r="CX103" s="142"/>
      <c r="CY103" s="142"/>
      <c r="CZ103" s="142"/>
      <c r="DA103" s="142"/>
      <c r="DB103" s="142"/>
      <c r="DC103" s="142"/>
      <c r="DD103" s="142"/>
      <c r="DE103" s="142"/>
      <c r="DF103" s="142"/>
      <c r="DG103" s="142"/>
      <c r="DH103" s="142"/>
      <c r="DI103" s="142"/>
      <c r="DJ103" s="142"/>
      <c r="DK103" s="142"/>
      <c r="DL103" s="142"/>
      <c r="DM103" s="142"/>
      <c r="DN103" s="142"/>
      <c r="DO103" s="142"/>
      <c r="DP103" s="142"/>
      <c r="DQ103" s="142"/>
      <c r="DR103" s="142"/>
      <c r="DS103" s="142"/>
      <c r="DT103" s="142"/>
      <c r="DU103" s="142"/>
      <c r="DV103" s="142"/>
      <c r="DW103" s="142"/>
      <c r="DX103" s="142"/>
      <c r="DY103" s="142"/>
      <c r="DZ103" s="142"/>
      <c r="EA103" s="142"/>
      <c r="EB103" s="142"/>
      <c r="EC103" s="142"/>
      <c r="ED103" s="142"/>
      <c r="EE103" s="142"/>
      <c r="EF103" s="142"/>
      <c r="EG103" s="142"/>
      <c r="EH103" s="142"/>
      <c r="EI103" s="142"/>
      <c r="EJ103" s="142"/>
      <c r="EK103" s="142"/>
      <c r="EL103" s="142"/>
      <c r="EM103" s="142"/>
      <c r="EN103" s="142"/>
      <c r="EO103" s="142"/>
      <c r="EP103" s="142"/>
      <c r="EQ103" s="142"/>
      <c r="ER103" s="142"/>
      <c r="ES103" s="142"/>
      <c r="ET103" s="142"/>
      <c r="EU103" s="142"/>
      <c r="EV103" s="142"/>
      <c r="EW103" s="142"/>
    </row>
    <row r="104" spans="1:153" s="143" customFormat="1" ht="27" customHeight="1">
      <c r="A104" s="3223" t="s">
        <v>438</v>
      </c>
      <c r="B104" s="380">
        <f>세입예산총괄표3!B89</f>
        <v>7620000</v>
      </c>
      <c r="C104" s="381">
        <f t="shared" si="62"/>
        <v>8.7467301634892424E-4</v>
      </c>
      <c r="D104" s="380">
        <v>0</v>
      </c>
      <c r="E104" s="381">
        <f t="shared" si="65"/>
        <v>0</v>
      </c>
      <c r="F104" s="382">
        <f t="shared" si="68"/>
        <v>7620000</v>
      </c>
      <c r="G104" s="383"/>
      <c r="H104" s="3225" t="s">
        <v>2080</v>
      </c>
      <c r="I104" s="3129">
        <f>세출예산총괄표4!B105</f>
        <v>563165000</v>
      </c>
      <c r="J104" s="3183">
        <f t="shared" si="44"/>
        <v>6.4643730872984501E-2</v>
      </c>
      <c r="K104" s="3129">
        <v>631422000</v>
      </c>
      <c r="L104" s="3183">
        <f t="shared" si="45"/>
        <v>6.1768715777469452E-2</v>
      </c>
      <c r="M104" s="3131">
        <f t="shared" si="67"/>
        <v>-68257000</v>
      </c>
      <c r="N104" s="3132">
        <f t="shared" si="66"/>
        <v>-0.10810044629423746</v>
      </c>
      <c r="O104" s="144"/>
      <c r="P104" s="142"/>
      <c r="Q104" s="142"/>
      <c r="R104" s="142"/>
      <c r="S104" s="142"/>
      <c r="T104" s="142"/>
      <c r="U104" s="142"/>
      <c r="V104" s="142"/>
      <c r="W104" s="142"/>
      <c r="X104" s="142"/>
      <c r="Y104" s="142"/>
      <c r="Z104" s="142"/>
      <c r="AA104" s="142"/>
      <c r="AB104" s="142"/>
      <c r="AC104" s="142"/>
      <c r="AD104" s="142"/>
      <c r="AE104" s="142"/>
      <c r="AF104" s="142"/>
      <c r="AG104" s="142"/>
      <c r="AH104" s="142"/>
      <c r="AI104" s="142"/>
      <c r="AJ104" s="142"/>
      <c r="AK104" s="142"/>
      <c r="AL104" s="142"/>
      <c r="AM104" s="142"/>
      <c r="AN104" s="142"/>
      <c r="AO104" s="142"/>
      <c r="AP104" s="142"/>
      <c r="AQ104" s="142"/>
      <c r="AR104" s="142"/>
      <c r="AS104" s="142"/>
      <c r="AT104" s="142"/>
      <c r="AU104" s="142"/>
      <c r="AV104" s="142"/>
      <c r="AW104" s="142"/>
      <c r="AX104" s="142"/>
      <c r="AY104" s="142"/>
      <c r="AZ104" s="142"/>
      <c r="BA104" s="142"/>
      <c r="BB104" s="142"/>
      <c r="BC104" s="142"/>
      <c r="BD104" s="142"/>
      <c r="BE104" s="142"/>
      <c r="BF104" s="142"/>
      <c r="BG104" s="142"/>
      <c r="BH104" s="142"/>
      <c r="BI104" s="142"/>
      <c r="BJ104" s="142"/>
      <c r="BK104" s="142"/>
      <c r="BL104" s="142"/>
      <c r="BM104" s="142"/>
      <c r="BN104" s="142"/>
      <c r="BO104" s="142"/>
      <c r="BP104" s="142"/>
      <c r="BQ104" s="142"/>
      <c r="BR104" s="142"/>
      <c r="BS104" s="142"/>
      <c r="BT104" s="142"/>
      <c r="BU104" s="142"/>
      <c r="BV104" s="142"/>
      <c r="BW104" s="142"/>
      <c r="BX104" s="142"/>
      <c r="BY104" s="142"/>
      <c r="BZ104" s="142"/>
      <c r="CA104" s="142"/>
      <c r="CB104" s="142"/>
      <c r="CC104" s="142"/>
      <c r="CD104" s="142"/>
      <c r="CE104" s="142"/>
      <c r="CF104" s="142"/>
      <c r="CG104" s="142"/>
      <c r="CH104" s="142"/>
      <c r="CI104" s="142"/>
      <c r="CJ104" s="142"/>
      <c r="CK104" s="142"/>
      <c r="CL104" s="142"/>
      <c r="CM104" s="142"/>
      <c r="CN104" s="142"/>
      <c r="CO104" s="142"/>
      <c r="CP104" s="142"/>
      <c r="CQ104" s="142"/>
      <c r="CR104" s="142"/>
      <c r="CS104" s="142"/>
      <c r="CT104" s="142"/>
      <c r="CU104" s="142"/>
      <c r="CV104" s="142"/>
      <c r="CW104" s="142"/>
      <c r="CX104" s="142"/>
      <c r="CY104" s="142"/>
      <c r="CZ104" s="142"/>
      <c r="DA104" s="142"/>
      <c r="DB104" s="142"/>
      <c r="DC104" s="142"/>
      <c r="DD104" s="142"/>
      <c r="DE104" s="142"/>
      <c r="DF104" s="142"/>
      <c r="DG104" s="142"/>
      <c r="DH104" s="142"/>
      <c r="DI104" s="142"/>
      <c r="DJ104" s="142"/>
      <c r="DK104" s="142"/>
      <c r="DL104" s="142"/>
      <c r="DM104" s="142"/>
      <c r="DN104" s="142"/>
      <c r="DO104" s="142"/>
      <c r="DP104" s="142"/>
      <c r="DQ104" s="142"/>
      <c r="DR104" s="142"/>
      <c r="DS104" s="142"/>
      <c r="DT104" s="142"/>
      <c r="DU104" s="142"/>
      <c r="DV104" s="142"/>
      <c r="DW104" s="142"/>
      <c r="DX104" s="142"/>
      <c r="DY104" s="142"/>
      <c r="DZ104" s="142"/>
      <c r="EA104" s="142"/>
      <c r="EB104" s="142"/>
      <c r="EC104" s="142"/>
      <c r="ED104" s="142"/>
      <c r="EE104" s="142"/>
      <c r="EF104" s="142"/>
      <c r="EG104" s="142"/>
      <c r="EH104" s="142"/>
      <c r="EI104" s="142"/>
      <c r="EJ104" s="142"/>
      <c r="EK104" s="142"/>
      <c r="EL104" s="142"/>
      <c r="EM104" s="142"/>
      <c r="EN104" s="142"/>
      <c r="EO104" s="142"/>
      <c r="EP104" s="142"/>
      <c r="EQ104" s="142"/>
      <c r="ER104" s="142"/>
      <c r="ES104" s="142"/>
      <c r="ET104" s="142"/>
      <c r="EU104" s="142"/>
      <c r="EV104" s="142"/>
      <c r="EW104" s="142"/>
    </row>
    <row r="105" spans="1:153" s="143" customFormat="1" ht="27" customHeight="1">
      <c r="A105" s="3227" t="s">
        <v>499</v>
      </c>
      <c r="B105" s="384">
        <f>세입예산총괄표3!B90</f>
        <v>750000</v>
      </c>
      <c r="C105" s="385">
        <f t="shared" si="62"/>
        <v>8.6089863813870499E-5</v>
      </c>
      <c r="D105" s="384">
        <v>0</v>
      </c>
      <c r="E105" s="385">
        <f t="shared" si="65"/>
        <v>0</v>
      </c>
      <c r="F105" s="386">
        <f t="shared" si="68"/>
        <v>750000</v>
      </c>
      <c r="G105" s="387"/>
      <c r="H105" s="3225" t="s">
        <v>447</v>
      </c>
      <c r="I105" s="3129">
        <f>세출예산총괄표4!B106</f>
        <v>37720000</v>
      </c>
      <c r="J105" s="3183">
        <f t="shared" si="44"/>
        <v>4.3297462174122607E-3</v>
      </c>
      <c r="K105" s="3129">
        <v>20160000</v>
      </c>
      <c r="L105" s="3183">
        <f t="shared" si="45"/>
        <v>1.9721474862671624E-3</v>
      </c>
      <c r="M105" s="3131">
        <f t="shared" si="67"/>
        <v>17560000</v>
      </c>
      <c r="N105" s="3132">
        <f t="shared" si="66"/>
        <v>0.87103174603174605</v>
      </c>
      <c r="O105" s="144"/>
      <c r="P105" s="142"/>
      <c r="Q105" s="142"/>
      <c r="R105" s="142"/>
      <c r="S105" s="142"/>
      <c r="T105" s="142"/>
      <c r="U105" s="142"/>
      <c r="V105" s="142"/>
      <c r="W105" s="142"/>
      <c r="X105" s="142"/>
      <c r="Y105" s="142"/>
      <c r="Z105" s="142"/>
      <c r="AA105" s="142"/>
      <c r="AB105" s="142"/>
      <c r="AC105" s="142"/>
      <c r="AD105" s="142"/>
      <c r="AE105" s="142"/>
      <c r="AF105" s="142"/>
      <c r="AG105" s="142"/>
      <c r="AH105" s="142"/>
      <c r="AI105" s="142"/>
      <c r="AJ105" s="142"/>
      <c r="AK105" s="142"/>
      <c r="AL105" s="142"/>
      <c r="AM105" s="142"/>
      <c r="AN105" s="142"/>
      <c r="AO105" s="142"/>
      <c r="AP105" s="142"/>
      <c r="AQ105" s="142"/>
      <c r="AR105" s="142"/>
      <c r="AS105" s="142"/>
      <c r="AT105" s="142"/>
      <c r="AU105" s="142"/>
      <c r="AV105" s="142"/>
      <c r="AW105" s="142"/>
      <c r="AX105" s="142"/>
      <c r="AY105" s="142"/>
      <c r="AZ105" s="142"/>
      <c r="BA105" s="142"/>
      <c r="BB105" s="142"/>
      <c r="BC105" s="142"/>
      <c r="BD105" s="142"/>
      <c r="BE105" s="142"/>
      <c r="BF105" s="142"/>
      <c r="BG105" s="142"/>
      <c r="BH105" s="142"/>
      <c r="BI105" s="142"/>
      <c r="BJ105" s="142"/>
      <c r="BK105" s="142"/>
      <c r="BL105" s="142"/>
      <c r="BM105" s="142"/>
      <c r="BN105" s="142"/>
      <c r="BO105" s="142"/>
      <c r="BP105" s="142"/>
      <c r="BQ105" s="142"/>
      <c r="BR105" s="142"/>
      <c r="BS105" s="142"/>
      <c r="BT105" s="142"/>
      <c r="BU105" s="142"/>
      <c r="BV105" s="142"/>
      <c r="BW105" s="142"/>
      <c r="BX105" s="142"/>
      <c r="BY105" s="142"/>
      <c r="BZ105" s="142"/>
      <c r="CA105" s="142"/>
      <c r="CB105" s="142"/>
      <c r="CC105" s="142"/>
      <c r="CD105" s="142"/>
      <c r="CE105" s="142"/>
      <c r="CF105" s="142"/>
      <c r="CG105" s="142"/>
      <c r="CH105" s="142"/>
      <c r="CI105" s="142"/>
      <c r="CJ105" s="142"/>
      <c r="CK105" s="142"/>
      <c r="CL105" s="142"/>
      <c r="CM105" s="142"/>
      <c r="CN105" s="142"/>
      <c r="CO105" s="142"/>
      <c r="CP105" s="142"/>
      <c r="CQ105" s="142"/>
      <c r="CR105" s="142"/>
      <c r="CS105" s="142"/>
      <c r="CT105" s="142"/>
      <c r="CU105" s="142"/>
      <c r="CV105" s="142"/>
      <c r="CW105" s="142"/>
      <c r="CX105" s="142"/>
      <c r="CY105" s="142"/>
      <c r="CZ105" s="142"/>
      <c r="DA105" s="142"/>
      <c r="DB105" s="142"/>
      <c r="DC105" s="142"/>
      <c r="DD105" s="142"/>
      <c r="DE105" s="142"/>
      <c r="DF105" s="142"/>
      <c r="DG105" s="142"/>
      <c r="DH105" s="142"/>
      <c r="DI105" s="142"/>
      <c r="DJ105" s="142"/>
      <c r="DK105" s="142"/>
      <c r="DL105" s="142"/>
      <c r="DM105" s="142"/>
      <c r="DN105" s="142"/>
      <c r="DO105" s="142"/>
      <c r="DP105" s="142"/>
      <c r="DQ105" s="142"/>
      <c r="DR105" s="142"/>
      <c r="DS105" s="142"/>
      <c r="DT105" s="142"/>
      <c r="DU105" s="142"/>
      <c r="DV105" s="142"/>
      <c r="DW105" s="142"/>
      <c r="DX105" s="142"/>
      <c r="DY105" s="142"/>
      <c r="DZ105" s="142"/>
      <c r="EA105" s="142"/>
      <c r="EB105" s="142"/>
      <c r="EC105" s="142"/>
      <c r="ED105" s="142"/>
      <c r="EE105" s="142"/>
      <c r="EF105" s="142"/>
      <c r="EG105" s="142"/>
      <c r="EH105" s="142"/>
      <c r="EI105" s="142"/>
      <c r="EJ105" s="142"/>
      <c r="EK105" s="142"/>
      <c r="EL105" s="142"/>
      <c r="EM105" s="142"/>
      <c r="EN105" s="142"/>
      <c r="EO105" s="142"/>
      <c r="EP105" s="142"/>
      <c r="EQ105" s="142"/>
      <c r="ER105" s="142"/>
      <c r="ES105" s="142"/>
      <c r="ET105" s="142"/>
      <c r="EU105" s="142"/>
      <c r="EV105" s="142"/>
      <c r="EW105" s="142"/>
    </row>
    <row r="106" spans="1:153" s="143" customFormat="1" ht="27" customHeight="1">
      <c r="A106" s="3240"/>
      <c r="B106" s="388"/>
      <c r="C106" s="389"/>
      <c r="D106" s="388"/>
      <c r="E106" s="389"/>
      <c r="F106" s="390"/>
      <c r="G106" s="391"/>
      <c r="H106" s="3225" t="s">
        <v>587</v>
      </c>
      <c r="I106" s="3129">
        <f>세출예산총괄표4!B107</f>
        <v>19200000</v>
      </c>
      <c r="J106" s="3183">
        <f t="shared" si="44"/>
        <v>2.2039005136350849E-3</v>
      </c>
      <c r="K106" s="3129">
        <v>0</v>
      </c>
      <c r="L106" s="3183">
        <f t="shared" si="45"/>
        <v>0</v>
      </c>
      <c r="M106" s="3131">
        <f t="shared" si="67"/>
        <v>19200000</v>
      </c>
      <c r="N106" s="3132"/>
      <c r="O106" s="144"/>
      <c r="P106" s="142"/>
      <c r="Q106" s="142"/>
      <c r="R106" s="142"/>
      <c r="S106" s="142"/>
      <c r="T106" s="142"/>
      <c r="U106" s="142"/>
      <c r="V106" s="142"/>
      <c r="W106" s="142"/>
      <c r="X106" s="142"/>
      <c r="Y106" s="142"/>
      <c r="Z106" s="142"/>
      <c r="AA106" s="142"/>
      <c r="AB106" s="142"/>
      <c r="AC106" s="142"/>
      <c r="AD106" s="142"/>
      <c r="AE106" s="142"/>
      <c r="AF106" s="142"/>
      <c r="AG106" s="142"/>
      <c r="AH106" s="142"/>
      <c r="AI106" s="142"/>
      <c r="AJ106" s="142"/>
      <c r="AK106" s="142"/>
      <c r="AL106" s="142"/>
      <c r="AM106" s="142"/>
      <c r="AN106" s="142"/>
      <c r="AO106" s="142"/>
      <c r="AP106" s="142"/>
      <c r="AQ106" s="142"/>
      <c r="AR106" s="142"/>
      <c r="AS106" s="142"/>
      <c r="AT106" s="142"/>
      <c r="AU106" s="142"/>
      <c r="AV106" s="142"/>
      <c r="AW106" s="142"/>
      <c r="AX106" s="142"/>
      <c r="AY106" s="142"/>
      <c r="AZ106" s="142"/>
      <c r="BA106" s="142"/>
      <c r="BB106" s="142"/>
      <c r="BC106" s="142"/>
      <c r="BD106" s="142"/>
      <c r="BE106" s="142"/>
      <c r="BF106" s="142"/>
      <c r="BG106" s="142"/>
      <c r="BH106" s="142"/>
      <c r="BI106" s="142"/>
      <c r="BJ106" s="142"/>
      <c r="BK106" s="142"/>
      <c r="BL106" s="142"/>
      <c r="BM106" s="142"/>
      <c r="BN106" s="142"/>
      <c r="BO106" s="142"/>
      <c r="BP106" s="142"/>
      <c r="BQ106" s="142"/>
      <c r="BR106" s="142"/>
      <c r="BS106" s="142"/>
      <c r="BT106" s="142"/>
      <c r="BU106" s="142"/>
      <c r="BV106" s="142"/>
      <c r="BW106" s="142"/>
      <c r="BX106" s="142"/>
      <c r="BY106" s="142"/>
      <c r="BZ106" s="142"/>
      <c r="CA106" s="142"/>
      <c r="CB106" s="142"/>
      <c r="CC106" s="142"/>
      <c r="CD106" s="142"/>
      <c r="CE106" s="142"/>
      <c r="CF106" s="142"/>
      <c r="CG106" s="142"/>
      <c r="CH106" s="142"/>
      <c r="CI106" s="142"/>
      <c r="CJ106" s="142"/>
      <c r="CK106" s="142"/>
      <c r="CL106" s="142"/>
      <c r="CM106" s="142"/>
      <c r="CN106" s="142"/>
      <c r="CO106" s="142"/>
      <c r="CP106" s="142"/>
      <c r="CQ106" s="142"/>
      <c r="CR106" s="142"/>
      <c r="CS106" s="142"/>
      <c r="CT106" s="142"/>
      <c r="CU106" s="142"/>
      <c r="CV106" s="142"/>
      <c r="CW106" s="142"/>
      <c r="CX106" s="142"/>
      <c r="CY106" s="142"/>
      <c r="CZ106" s="142"/>
      <c r="DA106" s="142"/>
      <c r="DB106" s="142"/>
      <c r="DC106" s="142"/>
      <c r="DD106" s="142"/>
      <c r="DE106" s="142"/>
      <c r="DF106" s="142"/>
      <c r="DG106" s="142"/>
      <c r="DH106" s="142"/>
      <c r="DI106" s="142"/>
      <c r="DJ106" s="142"/>
      <c r="DK106" s="142"/>
      <c r="DL106" s="142"/>
      <c r="DM106" s="142"/>
      <c r="DN106" s="142"/>
      <c r="DO106" s="142"/>
      <c r="DP106" s="142"/>
      <c r="DQ106" s="142"/>
      <c r="DR106" s="142"/>
      <c r="DS106" s="142"/>
      <c r="DT106" s="142"/>
      <c r="DU106" s="142"/>
      <c r="DV106" s="142"/>
      <c r="DW106" s="142"/>
      <c r="DX106" s="142"/>
      <c r="DY106" s="142"/>
      <c r="DZ106" s="142"/>
      <c r="EA106" s="142"/>
      <c r="EB106" s="142"/>
      <c r="EC106" s="142"/>
      <c r="ED106" s="142"/>
      <c r="EE106" s="142"/>
      <c r="EF106" s="142"/>
      <c r="EG106" s="142"/>
      <c r="EH106" s="142"/>
      <c r="EI106" s="142"/>
      <c r="EJ106" s="142"/>
      <c r="EK106" s="142"/>
      <c r="EL106" s="142"/>
      <c r="EM106" s="142"/>
      <c r="EN106" s="142"/>
      <c r="EO106" s="142"/>
      <c r="EP106" s="142"/>
      <c r="EQ106" s="142"/>
      <c r="ER106" s="142"/>
      <c r="ES106" s="142"/>
      <c r="ET106" s="142"/>
      <c r="EU106" s="142"/>
      <c r="EV106" s="142"/>
      <c r="EW106" s="142"/>
    </row>
    <row r="107" spans="1:153" s="143" customFormat="1" ht="27" customHeight="1">
      <c r="A107" s="3244"/>
      <c r="B107" s="3245"/>
      <c r="C107" s="3246"/>
      <c r="D107" s="3245"/>
      <c r="E107" s="3246"/>
      <c r="F107" s="3247"/>
      <c r="G107" s="3248"/>
      <c r="H107" s="3249" t="s">
        <v>499</v>
      </c>
      <c r="I107" s="3159">
        <f>세출예산총괄표4!B108</f>
        <v>8400000</v>
      </c>
      <c r="J107" s="3250">
        <f t="shared" si="44"/>
        <v>9.6420647471534961E-4</v>
      </c>
      <c r="K107" s="3159">
        <v>0</v>
      </c>
      <c r="L107" s="3250">
        <f t="shared" si="45"/>
        <v>0</v>
      </c>
      <c r="M107" s="3162">
        <f t="shared" si="67"/>
        <v>8400000</v>
      </c>
      <c r="N107" s="3163"/>
      <c r="O107" s="144"/>
      <c r="P107" s="142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  <c r="AT107" s="142"/>
      <c r="AU107" s="142"/>
      <c r="AV107" s="142"/>
      <c r="AW107" s="142"/>
      <c r="AX107" s="142"/>
      <c r="AY107" s="142"/>
      <c r="AZ107" s="142"/>
      <c r="BA107" s="142"/>
      <c r="BB107" s="142"/>
      <c r="BC107" s="142"/>
      <c r="BD107" s="142"/>
      <c r="BE107" s="142"/>
      <c r="BF107" s="142"/>
      <c r="BG107" s="142"/>
      <c r="BH107" s="142"/>
      <c r="BI107" s="142"/>
      <c r="BJ107" s="142"/>
      <c r="BK107" s="142"/>
      <c r="BL107" s="142"/>
      <c r="BM107" s="142"/>
      <c r="BN107" s="142"/>
      <c r="BO107" s="142"/>
      <c r="BP107" s="142"/>
      <c r="BQ107" s="142"/>
      <c r="BR107" s="142"/>
      <c r="BS107" s="142"/>
      <c r="BT107" s="142"/>
      <c r="BU107" s="142"/>
      <c r="BV107" s="142"/>
      <c r="BW107" s="142"/>
      <c r="BX107" s="142"/>
      <c r="BY107" s="142"/>
      <c r="BZ107" s="142"/>
      <c r="CA107" s="142"/>
      <c r="CB107" s="142"/>
      <c r="CC107" s="142"/>
      <c r="CD107" s="142"/>
      <c r="CE107" s="142"/>
      <c r="CF107" s="142"/>
      <c r="CG107" s="142"/>
      <c r="CH107" s="142"/>
      <c r="CI107" s="142"/>
      <c r="CJ107" s="142"/>
      <c r="CK107" s="142"/>
      <c r="CL107" s="142"/>
      <c r="CM107" s="142"/>
      <c r="CN107" s="142"/>
      <c r="CO107" s="142"/>
      <c r="CP107" s="142"/>
      <c r="CQ107" s="142"/>
      <c r="CR107" s="142"/>
      <c r="CS107" s="142"/>
      <c r="CT107" s="142"/>
      <c r="CU107" s="142"/>
      <c r="CV107" s="142"/>
      <c r="CW107" s="142"/>
      <c r="CX107" s="142"/>
      <c r="CY107" s="142"/>
      <c r="CZ107" s="142"/>
      <c r="DA107" s="142"/>
      <c r="DB107" s="142"/>
      <c r="DC107" s="142"/>
      <c r="DD107" s="142"/>
      <c r="DE107" s="142"/>
      <c r="DF107" s="142"/>
      <c r="DG107" s="142"/>
      <c r="DH107" s="142"/>
      <c r="DI107" s="142"/>
      <c r="DJ107" s="142"/>
      <c r="DK107" s="142"/>
      <c r="DL107" s="142"/>
      <c r="DM107" s="142"/>
      <c r="DN107" s="142"/>
      <c r="DO107" s="142"/>
      <c r="DP107" s="142"/>
      <c r="DQ107" s="142"/>
      <c r="DR107" s="142"/>
      <c r="DS107" s="142"/>
      <c r="DT107" s="142"/>
      <c r="DU107" s="142"/>
      <c r="DV107" s="142"/>
      <c r="DW107" s="142"/>
      <c r="DX107" s="142"/>
      <c r="DY107" s="142"/>
      <c r="DZ107" s="142"/>
      <c r="EA107" s="142"/>
      <c r="EB107" s="142"/>
      <c r="EC107" s="142"/>
      <c r="ED107" s="142"/>
      <c r="EE107" s="142"/>
      <c r="EF107" s="142"/>
      <c r="EG107" s="142"/>
      <c r="EH107" s="142"/>
      <c r="EI107" s="142"/>
      <c r="EJ107" s="142"/>
      <c r="EK107" s="142"/>
      <c r="EL107" s="142"/>
      <c r="EM107" s="142"/>
      <c r="EN107" s="142"/>
      <c r="EO107" s="142"/>
      <c r="EP107" s="142"/>
      <c r="EQ107" s="142"/>
      <c r="ER107" s="142"/>
      <c r="ES107" s="142"/>
      <c r="ET107" s="142"/>
      <c r="EU107" s="142"/>
      <c r="EV107" s="142"/>
      <c r="EW107" s="142"/>
    </row>
    <row r="108" spans="1:153" s="143" customFormat="1" ht="27" customHeight="1">
      <c r="A108" s="3223"/>
      <c r="B108" s="380"/>
      <c r="C108" s="381"/>
      <c r="D108" s="380"/>
      <c r="E108" s="381"/>
      <c r="F108" s="382"/>
      <c r="G108" s="383"/>
      <c r="H108" s="3226" t="s">
        <v>531</v>
      </c>
      <c r="I108" s="3144">
        <f>세출예산총괄표4!B109</f>
        <v>2784000</v>
      </c>
      <c r="J108" s="3183">
        <f t="shared" si="44"/>
        <v>3.1956557447708727E-4</v>
      </c>
      <c r="K108" s="3129">
        <v>0</v>
      </c>
      <c r="L108" s="3183">
        <f t="shared" si="45"/>
        <v>0</v>
      </c>
      <c r="M108" s="3131">
        <f t="shared" si="67"/>
        <v>2784000</v>
      </c>
      <c r="N108" s="3132"/>
      <c r="O108" s="144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  <c r="AT108" s="142"/>
      <c r="AU108" s="142"/>
      <c r="AV108" s="142"/>
      <c r="AW108" s="142"/>
      <c r="AX108" s="142"/>
      <c r="AY108" s="142"/>
      <c r="AZ108" s="142"/>
      <c r="BA108" s="142"/>
      <c r="BB108" s="142"/>
      <c r="BC108" s="142"/>
      <c r="BD108" s="142"/>
      <c r="BE108" s="142"/>
      <c r="BF108" s="142"/>
      <c r="BG108" s="142"/>
      <c r="BH108" s="142"/>
      <c r="BI108" s="142"/>
      <c r="BJ108" s="142"/>
      <c r="BK108" s="142"/>
      <c r="BL108" s="142"/>
      <c r="BM108" s="142"/>
      <c r="BN108" s="142"/>
      <c r="BO108" s="142"/>
      <c r="BP108" s="142"/>
      <c r="BQ108" s="142"/>
      <c r="BR108" s="142"/>
      <c r="BS108" s="142"/>
      <c r="BT108" s="142"/>
      <c r="BU108" s="142"/>
      <c r="BV108" s="142"/>
      <c r="BW108" s="142"/>
      <c r="BX108" s="142"/>
      <c r="BY108" s="142"/>
      <c r="BZ108" s="142"/>
      <c r="CA108" s="142"/>
      <c r="CB108" s="142"/>
      <c r="CC108" s="142"/>
      <c r="CD108" s="142"/>
      <c r="CE108" s="142"/>
      <c r="CF108" s="142"/>
      <c r="CG108" s="142"/>
      <c r="CH108" s="142"/>
      <c r="CI108" s="142"/>
      <c r="CJ108" s="142"/>
      <c r="CK108" s="142"/>
      <c r="CL108" s="142"/>
      <c r="CM108" s="142"/>
      <c r="CN108" s="142"/>
      <c r="CO108" s="142"/>
      <c r="CP108" s="142"/>
      <c r="CQ108" s="142"/>
      <c r="CR108" s="142"/>
      <c r="CS108" s="142"/>
      <c r="CT108" s="142"/>
      <c r="CU108" s="142"/>
      <c r="CV108" s="142"/>
      <c r="CW108" s="142"/>
      <c r="CX108" s="142"/>
      <c r="CY108" s="142"/>
      <c r="CZ108" s="142"/>
      <c r="DA108" s="142"/>
      <c r="DB108" s="142"/>
      <c r="DC108" s="142"/>
      <c r="DD108" s="142"/>
      <c r="DE108" s="142"/>
      <c r="DF108" s="142"/>
      <c r="DG108" s="142"/>
      <c r="DH108" s="142"/>
      <c r="DI108" s="142"/>
      <c r="DJ108" s="142"/>
      <c r="DK108" s="142"/>
      <c r="DL108" s="142"/>
      <c r="DM108" s="142"/>
      <c r="DN108" s="142"/>
      <c r="DO108" s="142"/>
      <c r="DP108" s="142"/>
      <c r="DQ108" s="142"/>
      <c r="DR108" s="142"/>
      <c r="DS108" s="142"/>
      <c r="DT108" s="142"/>
      <c r="DU108" s="142"/>
      <c r="DV108" s="142"/>
      <c r="DW108" s="142"/>
      <c r="DX108" s="142"/>
      <c r="DY108" s="142"/>
      <c r="DZ108" s="142"/>
      <c r="EA108" s="142"/>
      <c r="EB108" s="142"/>
      <c r="EC108" s="142"/>
      <c r="ED108" s="142"/>
      <c r="EE108" s="142"/>
      <c r="EF108" s="142"/>
      <c r="EG108" s="142"/>
      <c r="EH108" s="142"/>
      <c r="EI108" s="142"/>
      <c r="EJ108" s="142"/>
      <c r="EK108" s="142"/>
      <c r="EL108" s="142"/>
      <c r="EM108" s="142"/>
      <c r="EN108" s="142"/>
      <c r="EO108" s="142"/>
      <c r="EP108" s="142"/>
      <c r="EQ108" s="142"/>
      <c r="ER108" s="142"/>
      <c r="ES108" s="142"/>
      <c r="ET108" s="142"/>
      <c r="EU108" s="142"/>
      <c r="EV108" s="142"/>
      <c r="EW108" s="142"/>
    </row>
    <row r="109" spans="1:153" s="143" customFormat="1" ht="27" customHeight="1">
      <c r="A109" s="3223"/>
      <c r="B109" s="380"/>
      <c r="C109" s="381"/>
      <c r="D109" s="380"/>
      <c r="E109" s="381"/>
      <c r="F109" s="382"/>
      <c r="G109" s="383"/>
      <c r="H109" s="3172" t="s">
        <v>761</v>
      </c>
      <c r="I109" s="279">
        <f>SUM(I110:I115)</f>
        <v>0</v>
      </c>
      <c r="J109" s="367">
        <f>I109/$I$6</f>
        <v>0</v>
      </c>
      <c r="K109" s="279">
        <f>SUM(K110:K115)</f>
        <v>65391000</v>
      </c>
      <c r="L109" s="280">
        <f>K109/$K$6</f>
        <v>6.3968599342507943E-3</v>
      </c>
      <c r="M109" s="281">
        <f>SUM(M110:M115)</f>
        <v>-65391000</v>
      </c>
      <c r="N109" s="282">
        <f t="shared" ref="N109:N118" si="70">+M109/K109</f>
        <v>-1</v>
      </c>
      <c r="O109" s="144"/>
      <c r="P109" s="142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  <c r="AT109" s="142"/>
      <c r="AU109" s="142"/>
      <c r="AV109" s="142"/>
      <c r="AW109" s="142"/>
      <c r="AX109" s="142"/>
      <c r="AY109" s="142"/>
      <c r="AZ109" s="142"/>
      <c r="BA109" s="142"/>
      <c r="BB109" s="142"/>
      <c r="BC109" s="142"/>
      <c r="BD109" s="142"/>
      <c r="BE109" s="142"/>
      <c r="BF109" s="142"/>
      <c r="BG109" s="142"/>
      <c r="BH109" s="142"/>
      <c r="BI109" s="142"/>
      <c r="BJ109" s="142"/>
      <c r="BK109" s="142"/>
      <c r="BL109" s="142"/>
      <c r="BM109" s="142"/>
      <c r="BN109" s="142"/>
      <c r="BO109" s="142"/>
      <c r="BP109" s="142"/>
      <c r="BQ109" s="142"/>
      <c r="BR109" s="142"/>
      <c r="BS109" s="142"/>
      <c r="BT109" s="142"/>
      <c r="BU109" s="142"/>
      <c r="BV109" s="142"/>
      <c r="BW109" s="142"/>
      <c r="BX109" s="142"/>
      <c r="BY109" s="142"/>
      <c r="BZ109" s="142"/>
      <c r="CA109" s="142"/>
      <c r="CB109" s="142"/>
      <c r="CC109" s="142"/>
      <c r="CD109" s="142"/>
      <c r="CE109" s="142"/>
      <c r="CF109" s="142"/>
      <c r="CG109" s="142"/>
      <c r="CH109" s="142"/>
      <c r="CI109" s="142"/>
      <c r="CJ109" s="142"/>
      <c r="CK109" s="142"/>
      <c r="CL109" s="142"/>
      <c r="CM109" s="142"/>
      <c r="CN109" s="142"/>
      <c r="CO109" s="142"/>
      <c r="CP109" s="142"/>
      <c r="CQ109" s="142"/>
      <c r="CR109" s="142"/>
      <c r="CS109" s="142"/>
      <c r="CT109" s="142"/>
      <c r="CU109" s="142"/>
      <c r="CV109" s="142"/>
      <c r="CW109" s="142"/>
      <c r="CX109" s="142"/>
      <c r="CY109" s="142"/>
      <c r="CZ109" s="142"/>
      <c r="DA109" s="142"/>
      <c r="DB109" s="142"/>
      <c r="DC109" s="142"/>
      <c r="DD109" s="142"/>
      <c r="DE109" s="142"/>
      <c r="DF109" s="142"/>
      <c r="DG109" s="142"/>
      <c r="DH109" s="142"/>
      <c r="DI109" s="142"/>
      <c r="DJ109" s="142"/>
      <c r="DK109" s="142"/>
      <c r="DL109" s="142"/>
      <c r="DM109" s="142"/>
      <c r="DN109" s="142"/>
      <c r="DO109" s="142"/>
      <c r="DP109" s="142"/>
      <c r="DQ109" s="142"/>
      <c r="DR109" s="142"/>
      <c r="DS109" s="142"/>
      <c r="DT109" s="142"/>
      <c r="DU109" s="142"/>
      <c r="DV109" s="142"/>
      <c r="DW109" s="142"/>
      <c r="DX109" s="142"/>
      <c r="DY109" s="142"/>
      <c r="DZ109" s="142"/>
      <c r="EA109" s="142"/>
      <c r="EB109" s="142"/>
      <c r="EC109" s="142"/>
      <c r="ED109" s="142"/>
      <c r="EE109" s="142"/>
      <c r="EF109" s="142"/>
      <c r="EG109" s="142"/>
      <c r="EH109" s="142"/>
      <c r="EI109" s="142"/>
      <c r="EJ109" s="142"/>
      <c r="EK109" s="142"/>
      <c r="EL109" s="142"/>
      <c r="EM109" s="142"/>
      <c r="EN109" s="142"/>
      <c r="EO109" s="142"/>
      <c r="EP109" s="142"/>
      <c r="EQ109" s="142"/>
      <c r="ER109" s="142"/>
      <c r="ES109" s="142"/>
      <c r="ET109" s="142"/>
      <c r="EU109" s="142"/>
      <c r="EV109" s="142"/>
      <c r="EW109" s="142"/>
    </row>
    <row r="110" spans="1:153" s="143" customFormat="1" ht="27" customHeight="1">
      <c r="A110" s="3227"/>
      <c r="B110" s="384"/>
      <c r="C110" s="385"/>
      <c r="D110" s="384"/>
      <c r="E110" s="385"/>
      <c r="F110" s="386"/>
      <c r="G110" s="387"/>
      <c r="H110" s="3553" t="s">
        <v>578</v>
      </c>
      <c r="I110" s="3554">
        <v>0</v>
      </c>
      <c r="J110" s="3189">
        <f t="shared" si="44"/>
        <v>0</v>
      </c>
      <c r="K110" s="3554">
        <v>0</v>
      </c>
      <c r="L110" s="3189">
        <f t="shared" si="45"/>
        <v>0</v>
      </c>
      <c r="M110" s="3555">
        <f>+I110-K110</f>
        <v>0</v>
      </c>
      <c r="N110" s="3135"/>
      <c r="O110" s="144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  <c r="AT110" s="142"/>
      <c r="AU110" s="142"/>
      <c r="AV110" s="142"/>
      <c r="AW110" s="142"/>
      <c r="AX110" s="142"/>
      <c r="AY110" s="142"/>
      <c r="AZ110" s="142"/>
      <c r="BA110" s="142"/>
      <c r="BB110" s="142"/>
      <c r="BC110" s="142"/>
      <c r="BD110" s="142"/>
      <c r="BE110" s="142"/>
      <c r="BF110" s="142"/>
      <c r="BG110" s="142"/>
      <c r="BH110" s="142"/>
      <c r="BI110" s="142"/>
      <c r="BJ110" s="142"/>
      <c r="BK110" s="142"/>
      <c r="BL110" s="142"/>
      <c r="BM110" s="142"/>
      <c r="BN110" s="142"/>
      <c r="BO110" s="142"/>
      <c r="BP110" s="142"/>
      <c r="BQ110" s="142"/>
      <c r="BR110" s="142"/>
      <c r="BS110" s="142"/>
      <c r="BT110" s="142"/>
      <c r="BU110" s="142"/>
      <c r="BV110" s="142"/>
      <c r="BW110" s="142"/>
      <c r="BX110" s="142"/>
      <c r="BY110" s="142"/>
      <c r="BZ110" s="142"/>
      <c r="CA110" s="142"/>
      <c r="CB110" s="142"/>
      <c r="CC110" s="142"/>
      <c r="CD110" s="142"/>
      <c r="CE110" s="142"/>
      <c r="CF110" s="142"/>
      <c r="CG110" s="142"/>
      <c r="CH110" s="142"/>
      <c r="CI110" s="142"/>
      <c r="CJ110" s="142"/>
      <c r="CK110" s="142"/>
      <c r="CL110" s="142"/>
      <c r="CM110" s="142"/>
      <c r="CN110" s="142"/>
      <c r="CO110" s="142"/>
      <c r="CP110" s="142"/>
      <c r="CQ110" s="142"/>
      <c r="CR110" s="142"/>
      <c r="CS110" s="142"/>
      <c r="CT110" s="142"/>
      <c r="CU110" s="142"/>
      <c r="CV110" s="142"/>
      <c r="CW110" s="142"/>
      <c r="CX110" s="142"/>
      <c r="CY110" s="142"/>
      <c r="CZ110" s="142"/>
      <c r="DA110" s="142"/>
      <c r="DB110" s="142"/>
      <c r="DC110" s="142"/>
      <c r="DD110" s="142"/>
      <c r="DE110" s="142"/>
      <c r="DF110" s="142"/>
      <c r="DG110" s="142"/>
      <c r="DH110" s="142"/>
      <c r="DI110" s="142"/>
      <c r="DJ110" s="142"/>
      <c r="DK110" s="142"/>
      <c r="DL110" s="142"/>
      <c r="DM110" s="142"/>
      <c r="DN110" s="142"/>
      <c r="DO110" s="142"/>
      <c r="DP110" s="142"/>
      <c r="DQ110" s="142"/>
      <c r="DR110" s="142"/>
      <c r="DS110" s="142"/>
      <c r="DT110" s="142"/>
      <c r="DU110" s="142"/>
      <c r="DV110" s="142"/>
      <c r="DW110" s="142"/>
      <c r="DX110" s="142"/>
      <c r="DY110" s="142"/>
      <c r="DZ110" s="142"/>
      <c r="EA110" s="142"/>
      <c r="EB110" s="142"/>
      <c r="EC110" s="142"/>
      <c r="ED110" s="142"/>
      <c r="EE110" s="142"/>
      <c r="EF110" s="142"/>
      <c r="EG110" s="142"/>
      <c r="EH110" s="142"/>
      <c r="EI110" s="142"/>
      <c r="EJ110" s="142"/>
      <c r="EK110" s="142"/>
      <c r="EL110" s="142"/>
      <c r="EM110" s="142"/>
      <c r="EN110" s="142"/>
      <c r="EO110" s="142"/>
      <c r="EP110" s="142"/>
      <c r="EQ110" s="142"/>
      <c r="ER110" s="142"/>
      <c r="ES110" s="142"/>
      <c r="ET110" s="142"/>
      <c r="EU110" s="142"/>
      <c r="EV110" s="142"/>
      <c r="EW110" s="142"/>
    </row>
    <row r="111" spans="1:153" s="143" customFormat="1" ht="27" customHeight="1">
      <c r="A111" s="3547"/>
      <c r="B111" s="3218"/>
      <c r="C111" s="3219"/>
      <c r="D111" s="3218"/>
      <c r="E111" s="3219"/>
      <c r="F111" s="3220"/>
      <c r="G111" s="3243"/>
      <c r="H111" s="3205" t="s">
        <v>582</v>
      </c>
      <c r="I111" s="3139">
        <v>0</v>
      </c>
      <c r="J111" s="3177">
        <f t="shared" si="44"/>
        <v>0</v>
      </c>
      <c r="K111" s="3139">
        <v>20720000</v>
      </c>
      <c r="L111" s="3177">
        <f t="shared" si="45"/>
        <v>2.0269293608856944E-3</v>
      </c>
      <c r="M111" s="3141">
        <f>+I111-K111</f>
        <v>-20720000</v>
      </c>
      <c r="N111" s="3142">
        <f t="shared" si="70"/>
        <v>-1</v>
      </c>
      <c r="O111" s="144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  <c r="AT111" s="142"/>
      <c r="AU111" s="142"/>
      <c r="AV111" s="142"/>
      <c r="AW111" s="142"/>
      <c r="AX111" s="142"/>
      <c r="AY111" s="142"/>
      <c r="AZ111" s="142"/>
      <c r="BA111" s="142"/>
      <c r="BB111" s="142"/>
      <c r="BC111" s="142"/>
      <c r="BD111" s="142"/>
      <c r="BE111" s="142"/>
      <c r="BF111" s="142"/>
      <c r="BG111" s="142"/>
      <c r="BH111" s="142"/>
      <c r="BI111" s="142"/>
      <c r="BJ111" s="142"/>
      <c r="BK111" s="142"/>
      <c r="BL111" s="142"/>
      <c r="BM111" s="142"/>
      <c r="BN111" s="142"/>
      <c r="BO111" s="142"/>
      <c r="BP111" s="142"/>
      <c r="BQ111" s="142"/>
      <c r="BR111" s="142"/>
      <c r="BS111" s="142"/>
      <c r="BT111" s="142"/>
      <c r="BU111" s="142"/>
      <c r="BV111" s="142"/>
      <c r="BW111" s="142"/>
      <c r="BX111" s="142"/>
      <c r="BY111" s="142"/>
      <c r="BZ111" s="142"/>
      <c r="CA111" s="142"/>
      <c r="CB111" s="142"/>
      <c r="CC111" s="142"/>
      <c r="CD111" s="142"/>
      <c r="CE111" s="142"/>
      <c r="CF111" s="142"/>
      <c r="CG111" s="142"/>
      <c r="CH111" s="142"/>
      <c r="CI111" s="142"/>
      <c r="CJ111" s="142"/>
      <c r="CK111" s="142"/>
      <c r="CL111" s="142"/>
      <c r="CM111" s="142"/>
      <c r="CN111" s="142"/>
      <c r="CO111" s="142"/>
      <c r="CP111" s="142"/>
      <c r="CQ111" s="142"/>
      <c r="CR111" s="142"/>
      <c r="CS111" s="142"/>
      <c r="CT111" s="142"/>
      <c r="CU111" s="142"/>
      <c r="CV111" s="142"/>
      <c r="CW111" s="142"/>
      <c r="CX111" s="142"/>
      <c r="CY111" s="142"/>
      <c r="CZ111" s="142"/>
      <c r="DA111" s="142"/>
      <c r="DB111" s="142"/>
      <c r="DC111" s="142"/>
      <c r="DD111" s="142"/>
      <c r="DE111" s="142"/>
      <c r="DF111" s="142"/>
      <c r="DG111" s="142"/>
      <c r="DH111" s="142"/>
      <c r="DI111" s="142"/>
      <c r="DJ111" s="142"/>
      <c r="DK111" s="142"/>
      <c r="DL111" s="142"/>
      <c r="DM111" s="142"/>
      <c r="DN111" s="142"/>
      <c r="DO111" s="142"/>
      <c r="DP111" s="142"/>
      <c r="DQ111" s="142"/>
      <c r="DR111" s="142"/>
      <c r="DS111" s="142"/>
      <c r="DT111" s="142"/>
      <c r="DU111" s="142"/>
      <c r="DV111" s="142"/>
      <c r="DW111" s="142"/>
      <c r="DX111" s="142"/>
      <c r="DY111" s="142"/>
      <c r="DZ111" s="142"/>
      <c r="EA111" s="142"/>
      <c r="EB111" s="142"/>
      <c r="EC111" s="142"/>
      <c r="ED111" s="142"/>
      <c r="EE111" s="142"/>
      <c r="EF111" s="142"/>
      <c r="EG111" s="142"/>
      <c r="EH111" s="142"/>
      <c r="EI111" s="142"/>
      <c r="EJ111" s="142"/>
      <c r="EK111" s="142"/>
      <c r="EL111" s="142"/>
      <c r="EM111" s="142"/>
      <c r="EN111" s="142"/>
      <c r="EO111" s="142"/>
      <c r="EP111" s="142"/>
      <c r="EQ111" s="142"/>
      <c r="ER111" s="142"/>
      <c r="ES111" s="142"/>
      <c r="ET111" s="142"/>
      <c r="EU111" s="142"/>
      <c r="EV111" s="142"/>
      <c r="EW111" s="142"/>
    </row>
    <row r="112" spans="1:153" s="143" customFormat="1" ht="27" customHeight="1">
      <c r="A112" s="3251"/>
      <c r="B112" s="388"/>
      <c r="C112" s="389"/>
      <c r="D112" s="388"/>
      <c r="E112" s="389"/>
      <c r="F112" s="390"/>
      <c r="G112" s="391"/>
      <c r="H112" s="3174" t="s">
        <v>584</v>
      </c>
      <c r="I112" s="3136">
        <v>0</v>
      </c>
      <c r="J112" s="3202">
        <f t="shared" si="44"/>
        <v>0</v>
      </c>
      <c r="K112" s="3136">
        <v>37081000</v>
      </c>
      <c r="L112" s="3202">
        <f t="shared" si="45"/>
        <v>3.627440522731778E-3</v>
      </c>
      <c r="M112" s="3137">
        <f t="shared" ref="M112:M115" si="71">+I112-K112</f>
        <v>-37081000</v>
      </c>
      <c r="N112" s="3138">
        <f t="shared" si="70"/>
        <v>-1</v>
      </c>
      <c r="O112" s="144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/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  <c r="AT112" s="142"/>
      <c r="AU112" s="142"/>
      <c r="AV112" s="142"/>
      <c r="AW112" s="142"/>
      <c r="AX112" s="142"/>
      <c r="AY112" s="142"/>
      <c r="AZ112" s="142"/>
      <c r="BA112" s="142"/>
      <c r="BB112" s="142"/>
      <c r="BC112" s="142"/>
      <c r="BD112" s="142"/>
      <c r="BE112" s="142"/>
      <c r="BF112" s="142"/>
      <c r="BG112" s="142"/>
      <c r="BH112" s="142"/>
      <c r="BI112" s="142"/>
      <c r="BJ112" s="142"/>
      <c r="BK112" s="142"/>
      <c r="BL112" s="142"/>
      <c r="BM112" s="142"/>
      <c r="BN112" s="142"/>
      <c r="BO112" s="142"/>
      <c r="BP112" s="142"/>
      <c r="BQ112" s="142"/>
      <c r="BR112" s="142"/>
      <c r="BS112" s="142"/>
      <c r="BT112" s="142"/>
      <c r="BU112" s="142"/>
      <c r="BV112" s="142"/>
      <c r="BW112" s="142"/>
      <c r="BX112" s="142"/>
      <c r="BY112" s="142"/>
      <c r="BZ112" s="142"/>
      <c r="CA112" s="142"/>
      <c r="CB112" s="142"/>
      <c r="CC112" s="142"/>
      <c r="CD112" s="142"/>
      <c r="CE112" s="142"/>
      <c r="CF112" s="142"/>
      <c r="CG112" s="142"/>
      <c r="CH112" s="142"/>
      <c r="CI112" s="142"/>
      <c r="CJ112" s="142"/>
      <c r="CK112" s="142"/>
      <c r="CL112" s="142"/>
      <c r="CM112" s="142"/>
      <c r="CN112" s="142"/>
      <c r="CO112" s="142"/>
      <c r="CP112" s="142"/>
      <c r="CQ112" s="142"/>
      <c r="CR112" s="142"/>
      <c r="CS112" s="142"/>
      <c r="CT112" s="142"/>
      <c r="CU112" s="142"/>
      <c r="CV112" s="142"/>
      <c r="CW112" s="142"/>
      <c r="CX112" s="142"/>
      <c r="CY112" s="142"/>
      <c r="CZ112" s="142"/>
      <c r="DA112" s="142"/>
      <c r="DB112" s="142"/>
      <c r="DC112" s="142"/>
      <c r="DD112" s="142"/>
      <c r="DE112" s="142"/>
      <c r="DF112" s="142"/>
      <c r="DG112" s="142"/>
      <c r="DH112" s="142"/>
      <c r="DI112" s="142"/>
      <c r="DJ112" s="142"/>
      <c r="DK112" s="142"/>
      <c r="DL112" s="142"/>
      <c r="DM112" s="142"/>
      <c r="DN112" s="142"/>
      <c r="DO112" s="142"/>
      <c r="DP112" s="142"/>
      <c r="DQ112" s="142"/>
      <c r="DR112" s="142"/>
      <c r="DS112" s="142"/>
      <c r="DT112" s="142"/>
      <c r="DU112" s="142"/>
      <c r="DV112" s="142"/>
      <c r="DW112" s="142"/>
      <c r="DX112" s="142"/>
      <c r="DY112" s="142"/>
      <c r="DZ112" s="142"/>
      <c r="EA112" s="142"/>
      <c r="EB112" s="142"/>
      <c r="EC112" s="142"/>
      <c r="ED112" s="142"/>
      <c r="EE112" s="142"/>
      <c r="EF112" s="142"/>
      <c r="EG112" s="142"/>
      <c r="EH112" s="142"/>
      <c r="EI112" s="142"/>
      <c r="EJ112" s="142"/>
      <c r="EK112" s="142"/>
      <c r="EL112" s="142"/>
      <c r="EM112" s="142"/>
      <c r="EN112" s="142"/>
      <c r="EO112" s="142"/>
      <c r="EP112" s="142"/>
      <c r="EQ112" s="142"/>
      <c r="ER112" s="142"/>
      <c r="ES112" s="142"/>
      <c r="ET112" s="142"/>
      <c r="EU112" s="142"/>
      <c r="EV112" s="142"/>
      <c r="EW112" s="142"/>
    </row>
    <row r="113" spans="1:153" s="143" customFormat="1" ht="27" customHeight="1">
      <c r="A113" s="3252"/>
      <c r="B113" s="380"/>
      <c r="C113" s="381"/>
      <c r="D113" s="380"/>
      <c r="E113" s="381"/>
      <c r="F113" s="382"/>
      <c r="G113" s="383"/>
      <c r="H113" s="3225" t="s">
        <v>583</v>
      </c>
      <c r="I113" s="3129">
        <v>0</v>
      </c>
      <c r="J113" s="3183">
        <f t="shared" si="44"/>
        <v>0</v>
      </c>
      <c r="K113" s="3129">
        <v>0</v>
      </c>
      <c r="L113" s="3183">
        <f t="shared" si="45"/>
        <v>0</v>
      </c>
      <c r="M113" s="3131">
        <f t="shared" si="71"/>
        <v>0</v>
      </c>
      <c r="N113" s="3132"/>
      <c r="O113" s="144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  <c r="AT113" s="142"/>
      <c r="AU113" s="142"/>
      <c r="AV113" s="142"/>
      <c r="AW113" s="142"/>
      <c r="AX113" s="142"/>
      <c r="AY113" s="142"/>
      <c r="AZ113" s="142"/>
      <c r="BA113" s="142"/>
      <c r="BB113" s="142"/>
      <c r="BC113" s="142"/>
      <c r="BD113" s="142"/>
      <c r="BE113" s="142"/>
      <c r="BF113" s="142"/>
      <c r="BG113" s="142"/>
      <c r="BH113" s="142"/>
      <c r="BI113" s="142"/>
      <c r="BJ113" s="142"/>
      <c r="BK113" s="142"/>
      <c r="BL113" s="142"/>
      <c r="BM113" s="142"/>
      <c r="BN113" s="142"/>
      <c r="BO113" s="142"/>
      <c r="BP113" s="142"/>
      <c r="BQ113" s="142"/>
      <c r="BR113" s="142"/>
      <c r="BS113" s="142"/>
      <c r="BT113" s="142"/>
      <c r="BU113" s="142"/>
      <c r="BV113" s="142"/>
      <c r="BW113" s="142"/>
      <c r="BX113" s="142"/>
      <c r="BY113" s="142"/>
      <c r="BZ113" s="142"/>
      <c r="CA113" s="142"/>
      <c r="CB113" s="142"/>
      <c r="CC113" s="142"/>
      <c r="CD113" s="142"/>
      <c r="CE113" s="142"/>
      <c r="CF113" s="142"/>
      <c r="CG113" s="142"/>
      <c r="CH113" s="142"/>
      <c r="CI113" s="142"/>
      <c r="CJ113" s="142"/>
      <c r="CK113" s="142"/>
      <c r="CL113" s="142"/>
      <c r="CM113" s="142"/>
      <c r="CN113" s="142"/>
      <c r="CO113" s="142"/>
      <c r="CP113" s="142"/>
      <c r="CQ113" s="142"/>
      <c r="CR113" s="142"/>
      <c r="CS113" s="142"/>
      <c r="CT113" s="142"/>
      <c r="CU113" s="142"/>
      <c r="CV113" s="142"/>
      <c r="CW113" s="142"/>
      <c r="CX113" s="142"/>
      <c r="CY113" s="142"/>
      <c r="CZ113" s="142"/>
      <c r="DA113" s="142"/>
      <c r="DB113" s="142"/>
      <c r="DC113" s="142"/>
      <c r="DD113" s="142"/>
      <c r="DE113" s="142"/>
      <c r="DF113" s="142"/>
      <c r="DG113" s="142"/>
      <c r="DH113" s="142"/>
      <c r="DI113" s="142"/>
      <c r="DJ113" s="142"/>
      <c r="DK113" s="142"/>
      <c r="DL113" s="142"/>
      <c r="DM113" s="142"/>
      <c r="DN113" s="142"/>
      <c r="DO113" s="142"/>
      <c r="DP113" s="142"/>
      <c r="DQ113" s="142"/>
      <c r="DR113" s="142"/>
      <c r="DS113" s="142"/>
      <c r="DT113" s="142"/>
      <c r="DU113" s="142"/>
      <c r="DV113" s="142"/>
      <c r="DW113" s="142"/>
      <c r="DX113" s="142"/>
      <c r="DY113" s="142"/>
      <c r="DZ113" s="142"/>
      <c r="EA113" s="142"/>
      <c r="EB113" s="142"/>
      <c r="EC113" s="142"/>
      <c r="ED113" s="142"/>
      <c r="EE113" s="142"/>
      <c r="EF113" s="142"/>
      <c r="EG113" s="142"/>
      <c r="EH113" s="142"/>
      <c r="EI113" s="142"/>
      <c r="EJ113" s="142"/>
      <c r="EK113" s="142"/>
      <c r="EL113" s="142"/>
      <c r="EM113" s="142"/>
      <c r="EN113" s="142"/>
      <c r="EO113" s="142"/>
      <c r="EP113" s="142"/>
      <c r="EQ113" s="142"/>
      <c r="ER113" s="142"/>
      <c r="ES113" s="142"/>
      <c r="ET113" s="142"/>
      <c r="EU113" s="142"/>
      <c r="EV113" s="142"/>
      <c r="EW113" s="142"/>
    </row>
    <row r="114" spans="1:153" s="143" customFormat="1" ht="27" customHeight="1">
      <c r="A114" s="3252"/>
      <c r="B114" s="380"/>
      <c r="C114" s="381"/>
      <c r="D114" s="380"/>
      <c r="E114" s="381"/>
      <c r="F114" s="382"/>
      <c r="G114" s="383"/>
      <c r="H114" s="3225" t="s">
        <v>438</v>
      </c>
      <c r="I114" s="3129">
        <v>0</v>
      </c>
      <c r="J114" s="3183">
        <f t="shared" si="44"/>
        <v>0</v>
      </c>
      <c r="K114" s="3129">
        <v>3510000</v>
      </c>
      <c r="L114" s="3183">
        <f t="shared" si="45"/>
        <v>3.4336496412687201E-4</v>
      </c>
      <c r="M114" s="3131">
        <f t="shared" si="71"/>
        <v>-3510000</v>
      </c>
      <c r="N114" s="3132">
        <f t="shared" si="70"/>
        <v>-1</v>
      </c>
      <c r="O114" s="144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/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  <c r="AT114" s="142"/>
      <c r="AU114" s="142"/>
      <c r="AV114" s="142"/>
      <c r="AW114" s="142"/>
      <c r="AX114" s="142"/>
      <c r="AY114" s="142"/>
      <c r="AZ114" s="142"/>
      <c r="BA114" s="142"/>
      <c r="BB114" s="142"/>
      <c r="BC114" s="142"/>
      <c r="BD114" s="142"/>
      <c r="BE114" s="142"/>
      <c r="BF114" s="142"/>
      <c r="BG114" s="142"/>
      <c r="BH114" s="142"/>
      <c r="BI114" s="142"/>
      <c r="BJ114" s="142"/>
      <c r="BK114" s="142"/>
      <c r="BL114" s="142"/>
      <c r="BM114" s="142"/>
      <c r="BN114" s="142"/>
      <c r="BO114" s="142"/>
      <c r="BP114" s="142"/>
      <c r="BQ114" s="142"/>
      <c r="BR114" s="142"/>
      <c r="BS114" s="142"/>
      <c r="BT114" s="142"/>
      <c r="BU114" s="142"/>
      <c r="BV114" s="142"/>
      <c r="BW114" s="142"/>
      <c r="BX114" s="142"/>
      <c r="BY114" s="142"/>
      <c r="BZ114" s="142"/>
      <c r="CA114" s="142"/>
      <c r="CB114" s="142"/>
      <c r="CC114" s="142"/>
      <c r="CD114" s="142"/>
      <c r="CE114" s="142"/>
      <c r="CF114" s="142"/>
      <c r="CG114" s="142"/>
      <c r="CH114" s="142"/>
      <c r="CI114" s="142"/>
      <c r="CJ114" s="142"/>
      <c r="CK114" s="142"/>
      <c r="CL114" s="142"/>
      <c r="CM114" s="142"/>
      <c r="CN114" s="142"/>
      <c r="CO114" s="142"/>
      <c r="CP114" s="142"/>
      <c r="CQ114" s="142"/>
      <c r="CR114" s="142"/>
      <c r="CS114" s="142"/>
      <c r="CT114" s="142"/>
      <c r="CU114" s="142"/>
      <c r="CV114" s="142"/>
      <c r="CW114" s="142"/>
      <c r="CX114" s="142"/>
      <c r="CY114" s="142"/>
      <c r="CZ114" s="142"/>
      <c r="DA114" s="142"/>
      <c r="DB114" s="142"/>
      <c r="DC114" s="142"/>
      <c r="DD114" s="142"/>
      <c r="DE114" s="142"/>
      <c r="DF114" s="142"/>
      <c r="DG114" s="142"/>
      <c r="DH114" s="142"/>
      <c r="DI114" s="142"/>
      <c r="DJ114" s="142"/>
      <c r="DK114" s="142"/>
      <c r="DL114" s="142"/>
      <c r="DM114" s="142"/>
      <c r="DN114" s="142"/>
      <c r="DO114" s="142"/>
      <c r="DP114" s="142"/>
      <c r="DQ114" s="142"/>
      <c r="DR114" s="142"/>
      <c r="DS114" s="142"/>
      <c r="DT114" s="142"/>
      <c r="DU114" s="142"/>
      <c r="DV114" s="142"/>
      <c r="DW114" s="142"/>
      <c r="DX114" s="142"/>
      <c r="DY114" s="142"/>
      <c r="DZ114" s="142"/>
      <c r="EA114" s="142"/>
      <c r="EB114" s="142"/>
      <c r="EC114" s="142"/>
      <c r="ED114" s="142"/>
      <c r="EE114" s="142"/>
      <c r="EF114" s="142"/>
      <c r="EG114" s="142"/>
      <c r="EH114" s="142"/>
      <c r="EI114" s="142"/>
      <c r="EJ114" s="142"/>
      <c r="EK114" s="142"/>
      <c r="EL114" s="142"/>
      <c r="EM114" s="142"/>
      <c r="EN114" s="142"/>
      <c r="EO114" s="142"/>
      <c r="EP114" s="142"/>
      <c r="EQ114" s="142"/>
      <c r="ER114" s="142"/>
      <c r="ES114" s="142"/>
      <c r="ET114" s="142"/>
      <c r="EU114" s="142"/>
      <c r="EV114" s="142"/>
      <c r="EW114" s="142"/>
    </row>
    <row r="115" spans="1:153" s="143" customFormat="1" ht="27" customHeight="1">
      <c r="A115" s="3252"/>
      <c r="B115" s="380"/>
      <c r="C115" s="381"/>
      <c r="D115" s="380"/>
      <c r="E115" s="381"/>
      <c r="F115" s="382"/>
      <c r="G115" s="383"/>
      <c r="H115" s="3226" t="s">
        <v>499</v>
      </c>
      <c r="I115" s="3144">
        <v>0</v>
      </c>
      <c r="J115" s="3183">
        <f t="shared" si="44"/>
        <v>0</v>
      </c>
      <c r="K115" s="3144">
        <v>4080000</v>
      </c>
      <c r="L115" s="3183">
        <f t="shared" si="45"/>
        <v>3.9912508650644953E-4</v>
      </c>
      <c r="M115" s="3145">
        <f t="shared" si="71"/>
        <v>-4080000</v>
      </c>
      <c r="N115" s="3135">
        <f t="shared" si="70"/>
        <v>-1</v>
      </c>
      <c r="O115" s="144"/>
      <c r="P115" s="142"/>
      <c r="Q115" s="142"/>
      <c r="R115" s="142"/>
      <c r="S115" s="142"/>
      <c r="T115" s="142"/>
      <c r="U115" s="142"/>
      <c r="V115" s="142"/>
      <c r="W115" s="142"/>
      <c r="X115" s="142"/>
      <c r="Y115" s="142"/>
      <c r="Z115" s="142"/>
      <c r="AA115" s="142"/>
      <c r="AB115" s="142"/>
      <c r="AC115" s="142"/>
      <c r="AD115" s="142"/>
      <c r="AE115" s="142"/>
      <c r="AF115" s="142"/>
      <c r="AG115" s="142"/>
      <c r="AH115" s="142"/>
      <c r="AI115" s="142"/>
      <c r="AJ115" s="142"/>
      <c r="AK115" s="142"/>
      <c r="AL115" s="142"/>
      <c r="AM115" s="142"/>
      <c r="AN115" s="142"/>
      <c r="AO115" s="142"/>
      <c r="AP115" s="142"/>
      <c r="AQ115" s="142"/>
      <c r="AR115" s="142"/>
      <c r="AS115" s="142"/>
      <c r="AT115" s="142"/>
      <c r="AU115" s="142"/>
      <c r="AV115" s="142"/>
      <c r="AW115" s="142"/>
      <c r="AX115" s="142"/>
      <c r="AY115" s="142"/>
      <c r="AZ115" s="142"/>
      <c r="BA115" s="142"/>
      <c r="BB115" s="142"/>
      <c r="BC115" s="142"/>
      <c r="BD115" s="142"/>
      <c r="BE115" s="142"/>
      <c r="BF115" s="142"/>
      <c r="BG115" s="142"/>
      <c r="BH115" s="142"/>
      <c r="BI115" s="142"/>
      <c r="BJ115" s="142"/>
      <c r="BK115" s="142"/>
      <c r="BL115" s="142"/>
      <c r="BM115" s="142"/>
      <c r="BN115" s="142"/>
      <c r="BO115" s="142"/>
      <c r="BP115" s="142"/>
      <c r="BQ115" s="142"/>
      <c r="BR115" s="142"/>
      <c r="BS115" s="142"/>
      <c r="BT115" s="142"/>
      <c r="BU115" s="142"/>
      <c r="BV115" s="142"/>
      <c r="BW115" s="142"/>
      <c r="BX115" s="142"/>
      <c r="BY115" s="142"/>
      <c r="BZ115" s="142"/>
      <c r="CA115" s="142"/>
      <c r="CB115" s="142"/>
      <c r="CC115" s="142"/>
      <c r="CD115" s="142"/>
      <c r="CE115" s="142"/>
      <c r="CF115" s="142"/>
      <c r="CG115" s="142"/>
      <c r="CH115" s="142"/>
      <c r="CI115" s="142"/>
      <c r="CJ115" s="142"/>
      <c r="CK115" s="142"/>
      <c r="CL115" s="142"/>
      <c r="CM115" s="142"/>
      <c r="CN115" s="142"/>
      <c r="CO115" s="142"/>
      <c r="CP115" s="142"/>
      <c r="CQ115" s="142"/>
      <c r="CR115" s="142"/>
      <c r="CS115" s="142"/>
      <c r="CT115" s="142"/>
      <c r="CU115" s="142"/>
      <c r="CV115" s="142"/>
      <c r="CW115" s="142"/>
      <c r="CX115" s="142"/>
      <c r="CY115" s="142"/>
      <c r="CZ115" s="142"/>
      <c r="DA115" s="142"/>
      <c r="DB115" s="142"/>
      <c r="DC115" s="142"/>
      <c r="DD115" s="142"/>
      <c r="DE115" s="142"/>
      <c r="DF115" s="142"/>
      <c r="DG115" s="142"/>
      <c r="DH115" s="142"/>
      <c r="DI115" s="142"/>
      <c r="DJ115" s="142"/>
      <c r="DK115" s="142"/>
      <c r="DL115" s="142"/>
      <c r="DM115" s="142"/>
      <c r="DN115" s="142"/>
      <c r="DO115" s="142"/>
      <c r="DP115" s="142"/>
      <c r="DQ115" s="142"/>
      <c r="DR115" s="142"/>
      <c r="DS115" s="142"/>
      <c r="DT115" s="142"/>
      <c r="DU115" s="142"/>
      <c r="DV115" s="142"/>
      <c r="DW115" s="142"/>
      <c r="DX115" s="142"/>
      <c r="DY115" s="142"/>
      <c r="DZ115" s="142"/>
      <c r="EA115" s="142"/>
      <c r="EB115" s="142"/>
      <c r="EC115" s="142"/>
      <c r="ED115" s="142"/>
      <c r="EE115" s="142"/>
      <c r="EF115" s="142"/>
      <c r="EG115" s="142"/>
      <c r="EH115" s="142"/>
      <c r="EI115" s="142"/>
      <c r="EJ115" s="142"/>
      <c r="EK115" s="142"/>
      <c r="EL115" s="142"/>
      <c r="EM115" s="142"/>
      <c r="EN115" s="142"/>
      <c r="EO115" s="142"/>
      <c r="EP115" s="142"/>
      <c r="EQ115" s="142"/>
      <c r="ER115" s="142"/>
      <c r="ES115" s="142"/>
      <c r="ET115" s="142"/>
      <c r="EU115" s="142"/>
      <c r="EV115" s="142"/>
      <c r="EW115" s="142"/>
    </row>
    <row r="116" spans="1:153" s="143" customFormat="1" ht="27" customHeight="1">
      <c r="A116" s="3252"/>
      <c r="B116" s="380"/>
      <c r="C116" s="381"/>
      <c r="D116" s="380"/>
      <c r="E116" s="381"/>
      <c r="F116" s="382"/>
      <c r="G116" s="383"/>
      <c r="H116" s="3172" t="s">
        <v>1892</v>
      </c>
      <c r="I116" s="279">
        <f>SUM(I117:I117)</f>
        <v>50000000</v>
      </c>
      <c r="J116" s="367">
        <f>I116/$I$6</f>
        <v>5.7393242542580335E-3</v>
      </c>
      <c r="K116" s="279">
        <f>SUM(K117:K117)</f>
        <v>0</v>
      </c>
      <c r="L116" s="280">
        <f>K116/$K$6</f>
        <v>0</v>
      </c>
      <c r="M116" s="281">
        <f>SUM(M117:M117)</f>
        <v>50000000</v>
      </c>
      <c r="N116" s="282"/>
      <c r="O116" s="144"/>
      <c r="P116" s="142"/>
      <c r="Q116" s="142"/>
      <c r="R116" s="142"/>
      <c r="S116" s="142"/>
      <c r="T116" s="142"/>
      <c r="U116" s="142"/>
      <c r="V116" s="142"/>
      <c r="W116" s="142"/>
      <c r="X116" s="142"/>
      <c r="Y116" s="142"/>
      <c r="Z116" s="142"/>
      <c r="AA116" s="142"/>
      <c r="AB116" s="142"/>
      <c r="AC116" s="142"/>
      <c r="AD116" s="142"/>
      <c r="AE116" s="142"/>
      <c r="AF116" s="142"/>
      <c r="AG116" s="142"/>
      <c r="AH116" s="142"/>
      <c r="AI116" s="142"/>
      <c r="AJ116" s="142"/>
      <c r="AK116" s="142"/>
      <c r="AL116" s="142"/>
      <c r="AM116" s="142"/>
      <c r="AN116" s="142"/>
      <c r="AO116" s="142"/>
      <c r="AP116" s="142"/>
      <c r="AQ116" s="142"/>
      <c r="AR116" s="142"/>
      <c r="AS116" s="142"/>
      <c r="AT116" s="142"/>
      <c r="AU116" s="142"/>
      <c r="AV116" s="142"/>
      <c r="AW116" s="142"/>
      <c r="AX116" s="142"/>
      <c r="AY116" s="142"/>
      <c r="AZ116" s="142"/>
      <c r="BA116" s="142"/>
      <c r="BB116" s="142"/>
      <c r="BC116" s="142"/>
      <c r="BD116" s="142"/>
      <c r="BE116" s="142"/>
      <c r="BF116" s="142"/>
      <c r="BG116" s="142"/>
      <c r="BH116" s="142"/>
      <c r="BI116" s="142"/>
      <c r="BJ116" s="142"/>
      <c r="BK116" s="142"/>
      <c r="BL116" s="142"/>
      <c r="BM116" s="142"/>
      <c r="BN116" s="142"/>
      <c r="BO116" s="142"/>
      <c r="BP116" s="142"/>
      <c r="BQ116" s="142"/>
      <c r="BR116" s="142"/>
      <c r="BS116" s="142"/>
      <c r="BT116" s="142"/>
      <c r="BU116" s="142"/>
      <c r="BV116" s="142"/>
      <c r="BW116" s="142"/>
      <c r="BX116" s="142"/>
      <c r="BY116" s="142"/>
      <c r="BZ116" s="142"/>
      <c r="CA116" s="142"/>
      <c r="CB116" s="142"/>
      <c r="CC116" s="142"/>
      <c r="CD116" s="142"/>
      <c r="CE116" s="142"/>
      <c r="CF116" s="142"/>
      <c r="CG116" s="142"/>
      <c r="CH116" s="142"/>
      <c r="CI116" s="142"/>
      <c r="CJ116" s="142"/>
      <c r="CK116" s="142"/>
      <c r="CL116" s="142"/>
      <c r="CM116" s="142"/>
      <c r="CN116" s="142"/>
      <c r="CO116" s="142"/>
      <c r="CP116" s="142"/>
      <c r="CQ116" s="142"/>
      <c r="CR116" s="142"/>
      <c r="CS116" s="142"/>
      <c r="CT116" s="142"/>
      <c r="CU116" s="142"/>
      <c r="CV116" s="142"/>
      <c r="CW116" s="142"/>
      <c r="CX116" s="142"/>
      <c r="CY116" s="142"/>
      <c r="CZ116" s="142"/>
      <c r="DA116" s="142"/>
      <c r="DB116" s="142"/>
      <c r="DC116" s="142"/>
      <c r="DD116" s="142"/>
      <c r="DE116" s="142"/>
      <c r="DF116" s="142"/>
      <c r="DG116" s="142"/>
      <c r="DH116" s="142"/>
      <c r="DI116" s="142"/>
      <c r="DJ116" s="142"/>
      <c r="DK116" s="142"/>
      <c r="DL116" s="142"/>
      <c r="DM116" s="142"/>
      <c r="DN116" s="142"/>
      <c r="DO116" s="142"/>
      <c r="DP116" s="142"/>
      <c r="DQ116" s="142"/>
      <c r="DR116" s="142"/>
      <c r="DS116" s="142"/>
      <c r="DT116" s="142"/>
      <c r="DU116" s="142"/>
      <c r="DV116" s="142"/>
      <c r="DW116" s="142"/>
      <c r="DX116" s="142"/>
      <c r="DY116" s="142"/>
      <c r="DZ116" s="142"/>
      <c r="EA116" s="142"/>
      <c r="EB116" s="142"/>
      <c r="EC116" s="142"/>
      <c r="ED116" s="142"/>
      <c r="EE116" s="142"/>
      <c r="EF116" s="142"/>
      <c r="EG116" s="142"/>
      <c r="EH116" s="142"/>
      <c r="EI116" s="142"/>
      <c r="EJ116" s="142"/>
      <c r="EK116" s="142"/>
      <c r="EL116" s="142"/>
      <c r="EM116" s="142"/>
      <c r="EN116" s="142"/>
      <c r="EO116" s="142"/>
      <c r="EP116" s="142"/>
      <c r="EQ116" s="142"/>
      <c r="ER116" s="142"/>
      <c r="ES116" s="142"/>
      <c r="ET116" s="142"/>
      <c r="EU116" s="142"/>
      <c r="EV116" s="142"/>
      <c r="EW116" s="142"/>
    </row>
    <row r="117" spans="1:153" s="150" customFormat="1" ht="27" customHeight="1">
      <c r="A117" s="3252"/>
      <c r="B117" s="380"/>
      <c r="C117" s="381"/>
      <c r="D117" s="380"/>
      <c r="E117" s="381"/>
      <c r="F117" s="382"/>
      <c r="G117" s="383"/>
      <c r="H117" s="3222" t="s">
        <v>585</v>
      </c>
      <c r="I117" s="3139">
        <f>세출예산총괄표4!B118</f>
        <v>50000000</v>
      </c>
      <c r="J117" s="3183">
        <f t="shared" si="44"/>
        <v>5.7393242542580335E-3</v>
      </c>
      <c r="K117" s="3139">
        <v>0</v>
      </c>
      <c r="L117" s="3183">
        <f t="shared" si="45"/>
        <v>0</v>
      </c>
      <c r="M117" s="3141">
        <f>+I117-K117</f>
        <v>50000000</v>
      </c>
      <c r="N117" s="3135"/>
      <c r="O117" s="147"/>
    </row>
    <row r="118" spans="1:153" s="150" customFormat="1" ht="27" customHeight="1">
      <c r="A118" s="3252"/>
      <c r="B118" s="380"/>
      <c r="C118" s="381"/>
      <c r="D118" s="380"/>
      <c r="E118" s="381"/>
      <c r="F118" s="382"/>
      <c r="G118" s="383"/>
      <c r="H118" s="3172" t="s">
        <v>691</v>
      </c>
      <c r="I118" s="279">
        <f>SUM(I119:I130)</f>
        <v>2321000</v>
      </c>
      <c r="J118" s="367">
        <f>I118/$I$6</f>
        <v>2.6641943188265789E-4</v>
      </c>
      <c r="K118" s="279">
        <f>SUM(K119:K130)</f>
        <v>2164000</v>
      </c>
      <c r="L118" s="280">
        <f>K118/$K$6</f>
        <v>2.1169281549018548E-4</v>
      </c>
      <c r="M118" s="281">
        <f>SUM(M119:M130)</f>
        <v>157000</v>
      </c>
      <c r="N118" s="282">
        <f t="shared" si="70"/>
        <v>7.2550831792975973E-2</v>
      </c>
      <c r="O118" s="147"/>
    </row>
    <row r="119" spans="1:153" s="150" customFormat="1" ht="27" customHeight="1">
      <c r="A119" s="3252"/>
      <c r="B119" s="380"/>
      <c r="C119" s="381"/>
      <c r="D119" s="380"/>
      <c r="E119" s="381"/>
      <c r="F119" s="382"/>
      <c r="G119" s="383"/>
      <c r="H119" s="3205" t="s">
        <v>2081</v>
      </c>
      <c r="I119" s="3139">
        <v>900000</v>
      </c>
      <c r="J119" s="3177">
        <f t="shared" si="44"/>
        <v>1.0330783657664461E-4</v>
      </c>
      <c r="K119" s="3139">
        <v>720000</v>
      </c>
      <c r="L119" s="3177">
        <f t="shared" si="45"/>
        <v>7.0433838795255795E-5</v>
      </c>
      <c r="M119" s="3141">
        <f>+I119-K119</f>
        <v>180000</v>
      </c>
      <c r="N119" s="3142">
        <f t="shared" si="66"/>
        <v>0.25</v>
      </c>
      <c r="O119" s="147"/>
    </row>
    <row r="120" spans="1:153" s="150" customFormat="1" ht="27" customHeight="1">
      <c r="A120" s="3251"/>
      <c r="B120" s="388"/>
      <c r="C120" s="389"/>
      <c r="D120" s="388"/>
      <c r="E120" s="389"/>
      <c r="F120" s="390"/>
      <c r="G120" s="391"/>
      <c r="H120" s="3174" t="s">
        <v>573</v>
      </c>
      <c r="I120" s="3136">
        <v>200000</v>
      </c>
      <c r="J120" s="3202">
        <f t="shared" si="44"/>
        <v>2.2957297017032135E-5</v>
      </c>
      <c r="K120" s="3136">
        <v>200000</v>
      </c>
      <c r="L120" s="3202">
        <f t="shared" si="45"/>
        <v>1.9564955220904387E-5</v>
      </c>
      <c r="M120" s="3137">
        <f>+I120-K120</f>
        <v>0</v>
      </c>
      <c r="N120" s="3138">
        <f t="shared" si="66"/>
        <v>0</v>
      </c>
      <c r="O120" s="147"/>
    </row>
    <row r="121" spans="1:153" s="150" customFormat="1" ht="27" customHeight="1">
      <c r="A121" s="3252"/>
      <c r="B121" s="380"/>
      <c r="C121" s="381"/>
      <c r="D121" s="380"/>
      <c r="E121" s="381"/>
      <c r="F121" s="382"/>
      <c r="G121" s="383"/>
      <c r="H121" s="3180" t="s">
        <v>236</v>
      </c>
      <c r="I121" s="3129">
        <v>240000</v>
      </c>
      <c r="J121" s="3183">
        <f t="shared" si="44"/>
        <v>2.7548756420438562E-5</v>
      </c>
      <c r="K121" s="3129">
        <v>240000</v>
      </c>
      <c r="L121" s="3183">
        <f t="shared" si="45"/>
        <v>2.3477946265085266E-5</v>
      </c>
      <c r="M121" s="3131">
        <f t="shared" ref="M121:M130" si="72">+I121-K121</f>
        <v>0</v>
      </c>
      <c r="N121" s="3132">
        <f t="shared" si="66"/>
        <v>0</v>
      </c>
      <c r="O121" s="147"/>
    </row>
    <row r="122" spans="1:153" s="150" customFormat="1" ht="27" customHeight="1">
      <c r="A122" s="3252"/>
      <c r="B122" s="380"/>
      <c r="C122" s="381"/>
      <c r="D122" s="380"/>
      <c r="E122" s="381"/>
      <c r="F122" s="382"/>
      <c r="G122" s="383"/>
      <c r="H122" s="3180" t="s">
        <v>2082</v>
      </c>
      <c r="I122" s="3129">
        <v>100000</v>
      </c>
      <c r="J122" s="3183">
        <f t="shared" si="44"/>
        <v>1.1478648508516067E-5</v>
      </c>
      <c r="K122" s="3129">
        <v>100000</v>
      </c>
      <c r="L122" s="3183">
        <f t="shared" si="45"/>
        <v>9.7824776104521934E-6</v>
      </c>
      <c r="M122" s="3131">
        <f t="shared" si="72"/>
        <v>0</v>
      </c>
      <c r="N122" s="3132">
        <f t="shared" si="66"/>
        <v>0</v>
      </c>
      <c r="O122" s="147"/>
    </row>
    <row r="123" spans="1:153" s="150" customFormat="1" ht="27" customHeight="1">
      <c r="A123" s="3252"/>
      <c r="B123" s="380"/>
      <c r="C123" s="381"/>
      <c r="D123" s="380"/>
      <c r="E123" s="381"/>
      <c r="F123" s="382"/>
      <c r="G123" s="383"/>
      <c r="H123" s="3180" t="s">
        <v>312</v>
      </c>
      <c r="I123" s="3129">
        <v>70000</v>
      </c>
      <c r="J123" s="3183">
        <f t="shared" si="44"/>
        <v>8.0350539559612472E-6</v>
      </c>
      <c r="K123" s="3129">
        <v>100000</v>
      </c>
      <c r="L123" s="3183">
        <f t="shared" si="45"/>
        <v>9.7824776104521934E-6</v>
      </c>
      <c r="M123" s="3131">
        <f t="shared" si="72"/>
        <v>-30000</v>
      </c>
      <c r="N123" s="3132">
        <f t="shared" si="66"/>
        <v>-0.3</v>
      </c>
      <c r="O123" s="147"/>
    </row>
    <row r="124" spans="1:153" s="150" customFormat="1" ht="27" customHeight="1">
      <c r="A124" s="3252"/>
      <c r="B124" s="380"/>
      <c r="C124" s="381"/>
      <c r="D124" s="380"/>
      <c r="E124" s="381"/>
      <c r="F124" s="382"/>
      <c r="G124" s="383"/>
      <c r="H124" s="3180" t="s">
        <v>333</v>
      </c>
      <c r="I124" s="3129">
        <v>10000</v>
      </c>
      <c r="J124" s="3183">
        <f t="shared" si="44"/>
        <v>1.1478648508516067E-6</v>
      </c>
      <c r="K124" s="3129">
        <v>10000</v>
      </c>
      <c r="L124" s="3183">
        <f t="shared" si="45"/>
        <v>9.7824776104521943E-7</v>
      </c>
      <c r="M124" s="3131">
        <f t="shared" si="72"/>
        <v>0</v>
      </c>
      <c r="N124" s="3132">
        <f t="shared" si="66"/>
        <v>0</v>
      </c>
      <c r="O124" s="147"/>
    </row>
    <row r="125" spans="1:153" s="150" customFormat="1" ht="27" customHeight="1">
      <c r="A125" s="3252"/>
      <c r="B125" s="380"/>
      <c r="C125" s="381"/>
      <c r="D125" s="380"/>
      <c r="E125" s="381"/>
      <c r="F125" s="382"/>
      <c r="G125" s="383"/>
      <c r="H125" s="3180" t="s">
        <v>365</v>
      </c>
      <c r="I125" s="3129">
        <v>233000</v>
      </c>
      <c r="J125" s="3183">
        <f t="shared" si="44"/>
        <v>2.6745251024842435E-5</v>
      </c>
      <c r="K125" s="3129">
        <v>233000</v>
      </c>
      <c r="L125" s="3183">
        <f t="shared" si="45"/>
        <v>2.2793172832353613E-5</v>
      </c>
      <c r="M125" s="3131">
        <f t="shared" si="72"/>
        <v>0</v>
      </c>
      <c r="N125" s="3132">
        <f t="shared" si="66"/>
        <v>0</v>
      </c>
      <c r="O125" s="147"/>
    </row>
    <row r="126" spans="1:153" s="150" customFormat="1" ht="27" customHeight="1">
      <c r="A126" s="3253"/>
      <c r="B126" s="3254"/>
      <c r="C126" s="3255"/>
      <c r="D126" s="3254"/>
      <c r="E126" s="3255"/>
      <c r="F126" s="3256"/>
      <c r="G126" s="3257"/>
      <c r="H126" s="3180" t="s">
        <v>405</v>
      </c>
      <c r="I126" s="3129">
        <v>500000</v>
      </c>
      <c r="J126" s="3183">
        <f t="shared" si="44"/>
        <v>5.739324254258033E-5</v>
      </c>
      <c r="K126" s="3129">
        <v>500000</v>
      </c>
      <c r="L126" s="3183">
        <f t="shared" si="45"/>
        <v>4.8912388052260967E-5</v>
      </c>
      <c r="M126" s="3131">
        <f t="shared" si="72"/>
        <v>0</v>
      </c>
      <c r="N126" s="3132">
        <f t="shared" si="66"/>
        <v>0</v>
      </c>
      <c r="O126" s="147"/>
    </row>
    <row r="127" spans="1:153" s="150" customFormat="1" ht="27" customHeight="1">
      <c r="A127" s="3253"/>
      <c r="B127" s="3254"/>
      <c r="C127" s="3255"/>
      <c r="D127" s="3254"/>
      <c r="E127" s="3255"/>
      <c r="F127" s="3256"/>
      <c r="G127" s="3257"/>
      <c r="H127" s="3180" t="s">
        <v>447</v>
      </c>
      <c r="I127" s="3129">
        <v>24000</v>
      </c>
      <c r="J127" s="3183">
        <f t="shared" si="44"/>
        <v>2.754875642043856E-6</v>
      </c>
      <c r="K127" s="3129">
        <v>24000</v>
      </c>
      <c r="L127" s="3183">
        <f t="shared" si="45"/>
        <v>2.3477946265085264E-6</v>
      </c>
      <c r="M127" s="3131">
        <f t="shared" si="72"/>
        <v>0</v>
      </c>
      <c r="N127" s="3132">
        <f t="shared" si="66"/>
        <v>0</v>
      </c>
      <c r="O127" s="147"/>
    </row>
    <row r="128" spans="1:153" s="150" customFormat="1" ht="27" customHeight="1">
      <c r="A128" s="3253"/>
      <c r="B128" s="3254"/>
      <c r="C128" s="3255"/>
      <c r="D128" s="3254"/>
      <c r="E128" s="3255"/>
      <c r="F128" s="3256"/>
      <c r="G128" s="3257"/>
      <c r="H128" s="3180" t="s">
        <v>485</v>
      </c>
      <c r="I128" s="3129">
        <v>20000</v>
      </c>
      <c r="J128" s="3183">
        <f t="shared" si="44"/>
        <v>2.2957297017032135E-6</v>
      </c>
      <c r="K128" s="3129">
        <v>13000</v>
      </c>
      <c r="L128" s="3183">
        <f t="shared" si="45"/>
        <v>1.2717220893587852E-6</v>
      </c>
      <c r="M128" s="3131">
        <f t="shared" si="72"/>
        <v>7000</v>
      </c>
      <c r="N128" s="3132">
        <f t="shared" si="66"/>
        <v>0.53846153846153844</v>
      </c>
      <c r="O128" s="147"/>
    </row>
    <row r="129" spans="1:15" s="150" customFormat="1" ht="27" customHeight="1">
      <c r="A129" s="3253"/>
      <c r="B129" s="3254"/>
      <c r="C129" s="3255"/>
      <c r="D129" s="3254"/>
      <c r="E129" s="3255"/>
      <c r="F129" s="3256"/>
      <c r="G129" s="3257"/>
      <c r="H129" s="3180" t="s">
        <v>499</v>
      </c>
      <c r="I129" s="3129">
        <v>14000</v>
      </c>
      <c r="J129" s="3183">
        <f t="shared" si="44"/>
        <v>1.6070107911922493E-6</v>
      </c>
      <c r="K129" s="3129">
        <v>14000</v>
      </c>
      <c r="L129" s="3183">
        <f t="shared" si="45"/>
        <v>1.3695468654633072E-6</v>
      </c>
      <c r="M129" s="3131">
        <f t="shared" si="72"/>
        <v>0</v>
      </c>
      <c r="N129" s="3132">
        <f t="shared" si="66"/>
        <v>0</v>
      </c>
      <c r="O129" s="147"/>
    </row>
    <row r="130" spans="1:15" s="150" customFormat="1" ht="27" customHeight="1">
      <c r="A130" s="3253"/>
      <c r="B130" s="3254"/>
      <c r="C130" s="3255"/>
      <c r="D130" s="3254"/>
      <c r="E130" s="3255"/>
      <c r="F130" s="3256"/>
      <c r="G130" s="3257"/>
      <c r="H130" s="3193" t="s">
        <v>531</v>
      </c>
      <c r="I130" s="3144">
        <v>10000</v>
      </c>
      <c r="J130" s="3189">
        <f t="shared" si="44"/>
        <v>1.1478648508516067E-6</v>
      </c>
      <c r="K130" s="3144">
        <v>10000</v>
      </c>
      <c r="L130" s="3189">
        <f t="shared" si="45"/>
        <v>9.7824776104521943E-7</v>
      </c>
      <c r="M130" s="3145">
        <f t="shared" si="72"/>
        <v>0</v>
      </c>
      <c r="N130" s="3135">
        <f t="shared" si="66"/>
        <v>0</v>
      </c>
      <c r="O130" s="147"/>
    </row>
    <row r="131" spans="1:15" s="150" customFormat="1" ht="27" customHeight="1">
      <c r="A131" s="3253"/>
      <c r="B131" s="3254"/>
      <c r="C131" s="3255"/>
      <c r="D131" s="3254"/>
      <c r="E131" s="3255"/>
      <c r="F131" s="3256"/>
      <c r="G131" s="3257"/>
      <c r="H131" s="3172" t="s">
        <v>709</v>
      </c>
      <c r="I131" s="279">
        <f>SUM(I132:I136)</f>
        <v>85166000</v>
      </c>
      <c r="J131" s="367">
        <f>I131/$I$6</f>
        <v>9.7759057887627926E-3</v>
      </c>
      <c r="K131" s="279">
        <f>SUM(K132:K136)</f>
        <v>223556000</v>
      </c>
      <c r="L131" s="280">
        <f>K131/$K$6</f>
        <v>2.1869315646822506E-2</v>
      </c>
      <c r="M131" s="281">
        <f>SUM(M132:M136)</f>
        <v>-138390000</v>
      </c>
      <c r="N131" s="282">
        <f t="shared" si="66"/>
        <v>-0.61903952477231661</v>
      </c>
      <c r="O131" s="147"/>
    </row>
    <row r="132" spans="1:15" s="150" customFormat="1" ht="27" customHeight="1">
      <c r="A132" s="3253"/>
      <c r="B132" s="3254"/>
      <c r="C132" s="3255"/>
      <c r="D132" s="3254"/>
      <c r="E132" s="3255"/>
      <c r="F132" s="3256"/>
      <c r="G132" s="3257"/>
      <c r="H132" s="3225" t="s">
        <v>574</v>
      </c>
      <c r="I132" s="3129">
        <f>세출예산총괄표4!B133</f>
        <v>0</v>
      </c>
      <c r="J132" s="3183">
        <f t="shared" si="44"/>
        <v>0</v>
      </c>
      <c r="K132" s="3129">
        <f>세출예산총괄표4!D133</f>
        <v>113313000</v>
      </c>
      <c r="L132" s="3183">
        <f t="shared" si="45"/>
        <v>1.1084818854731695E-2</v>
      </c>
      <c r="M132" s="3131">
        <f t="shared" ref="M132:M136" si="73">+I132-K132</f>
        <v>-113313000</v>
      </c>
      <c r="N132" s="3132">
        <f t="shared" si="66"/>
        <v>-1</v>
      </c>
      <c r="O132" s="147"/>
    </row>
    <row r="133" spans="1:15" s="150" customFormat="1" ht="27" customHeight="1">
      <c r="A133" s="3253"/>
      <c r="B133" s="3254"/>
      <c r="C133" s="3255"/>
      <c r="D133" s="3254"/>
      <c r="E133" s="3255"/>
      <c r="F133" s="3256"/>
      <c r="G133" s="3257"/>
      <c r="H133" s="3225" t="s">
        <v>576</v>
      </c>
      <c r="I133" s="3129">
        <f>세출예산총괄표4!B134</f>
        <v>66416000</v>
      </c>
      <c r="J133" s="3183">
        <f t="shared" si="44"/>
        <v>7.6236591934160311E-3</v>
      </c>
      <c r="K133" s="3129">
        <v>69767000</v>
      </c>
      <c r="L133" s="3183">
        <f t="shared" si="45"/>
        <v>6.8249411544841817E-3</v>
      </c>
      <c r="M133" s="3131">
        <f t="shared" si="73"/>
        <v>-3351000</v>
      </c>
      <c r="N133" s="3132">
        <f t="shared" si="66"/>
        <v>-4.8031304198259919E-2</v>
      </c>
      <c r="O133" s="147"/>
    </row>
    <row r="134" spans="1:15" s="150" customFormat="1" ht="27" customHeight="1">
      <c r="A134" s="3258"/>
      <c r="B134" s="3259"/>
      <c r="C134" s="3260"/>
      <c r="D134" s="3259"/>
      <c r="E134" s="3260"/>
      <c r="F134" s="3261"/>
      <c r="G134" s="3262"/>
      <c r="H134" s="3242" t="s">
        <v>2082</v>
      </c>
      <c r="I134" s="3136">
        <f>세출예산총괄표4!B135</f>
        <v>7900000</v>
      </c>
      <c r="J134" s="3202">
        <f t="shared" si="44"/>
        <v>9.0681323217276931E-4</v>
      </c>
      <c r="K134" s="3136">
        <v>9538000</v>
      </c>
      <c r="L134" s="3202">
        <f t="shared" si="45"/>
        <v>9.3305271448493028E-4</v>
      </c>
      <c r="M134" s="3137">
        <f t="shared" si="73"/>
        <v>-1638000</v>
      </c>
      <c r="N134" s="3138">
        <f t="shared" si="66"/>
        <v>-0.17173411616691131</v>
      </c>
      <c r="O134" s="147"/>
    </row>
    <row r="135" spans="1:15" s="150" customFormat="1" ht="27" customHeight="1">
      <c r="A135" s="3253"/>
      <c r="B135" s="3254"/>
      <c r="C135" s="3255"/>
      <c r="D135" s="3254"/>
      <c r="E135" s="3255"/>
      <c r="F135" s="3256"/>
      <c r="G135" s="3257"/>
      <c r="H135" s="3180" t="s">
        <v>312</v>
      </c>
      <c r="I135" s="3129">
        <f>세출예산총괄표4!B136</f>
        <v>360000</v>
      </c>
      <c r="J135" s="3183">
        <f t="shared" si="44"/>
        <v>4.1323134630657843E-5</v>
      </c>
      <c r="K135" s="3129">
        <v>564000</v>
      </c>
      <c r="L135" s="3183">
        <f t="shared" si="45"/>
        <v>5.5173173722950374E-5</v>
      </c>
      <c r="M135" s="3131">
        <f t="shared" si="73"/>
        <v>-204000</v>
      </c>
      <c r="N135" s="3132">
        <f t="shared" si="66"/>
        <v>-0.36170212765957449</v>
      </c>
      <c r="O135" s="147"/>
    </row>
    <row r="136" spans="1:15" s="150" customFormat="1" ht="27" customHeight="1" thickBot="1">
      <c r="A136" s="3263"/>
      <c r="B136" s="3264"/>
      <c r="C136" s="3265"/>
      <c r="D136" s="3264"/>
      <c r="E136" s="3265"/>
      <c r="F136" s="3266"/>
      <c r="G136" s="3267"/>
      <c r="H136" s="3268" t="s">
        <v>585</v>
      </c>
      <c r="I136" s="3146">
        <f>세출예산총괄표4!B137</f>
        <v>10490000</v>
      </c>
      <c r="J136" s="3269">
        <f t="shared" si="44"/>
        <v>1.2041102285433355E-3</v>
      </c>
      <c r="K136" s="3146">
        <v>30374000</v>
      </c>
      <c r="L136" s="3269">
        <f t="shared" si="45"/>
        <v>2.9713297493987492E-3</v>
      </c>
      <c r="M136" s="3148">
        <f t="shared" si="73"/>
        <v>-19884000</v>
      </c>
      <c r="N136" s="3165">
        <f t="shared" si="66"/>
        <v>-0.65463883584644766</v>
      </c>
      <c r="O136" s="147"/>
    </row>
    <row r="137" spans="1:15" s="150" customFormat="1" ht="16.5">
      <c r="A137" s="393"/>
      <c r="B137" s="148"/>
      <c r="C137" s="149"/>
      <c r="D137" s="148"/>
      <c r="E137" s="149"/>
      <c r="F137" s="204"/>
      <c r="G137" s="209"/>
      <c r="H137" s="396"/>
      <c r="I137" s="151"/>
      <c r="J137" s="148"/>
      <c r="K137" s="151"/>
      <c r="M137" s="206"/>
      <c r="N137" s="209"/>
      <c r="O137" s="147"/>
    </row>
    <row r="138" spans="1:15" s="150" customFormat="1" ht="16.5">
      <c r="A138" s="393"/>
      <c r="B138" s="148"/>
      <c r="C138" s="149"/>
      <c r="D138" s="148"/>
      <c r="E138" s="149"/>
      <c r="F138" s="204"/>
      <c r="G138" s="209"/>
      <c r="H138" s="396"/>
      <c r="I138" s="151"/>
      <c r="J138" s="148"/>
      <c r="K138" s="151"/>
      <c r="M138" s="206"/>
      <c r="N138" s="209"/>
      <c r="O138" s="147"/>
    </row>
    <row r="139" spans="1:15" s="150" customFormat="1" ht="16.5">
      <c r="A139" s="393"/>
      <c r="B139" s="148"/>
      <c r="C139" s="149"/>
      <c r="D139" s="148"/>
      <c r="E139" s="149"/>
      <c r="F139" s="204"/>
      <c r="G139" s="209"/>
      <c r="H139" s="396"/>
      <c r="I139" s="151"/>
      <c r="J139" s="148"/>
      <c r="K139" s="151"/>
      <c r="M139" s="206"/>
      <c r="N139" s="209"/>
      <c r="O139" s="147"/>
    </row>
    <row r="140" spans="1:15" s="150" customFormat="1" ht="16.5">
      <c r="A140" s="393"/>
      <c r="B140" s="148"/>
      <c r="C140" s="149"/>
      <c r="D140" s="148"/>
      <c r="E140" s="149"/>
      <c r="F140" s="204"/>
      <c r="G140" s="209"/>
      <c r="H140" s="396"/>
      <c r="I140" s="151"/>
      <c r="J140" s="148"/>
      <c r="K140" s="151"/>
      <c r="M140" s="206"/>
      <c r="N140" s="209"/>
      <c r="O140" s="147"/>
    </row>
    <row r="141" spans="1:15" s="150" customFormat="1" ht="16.5">
      <c r="A141" s="393"/>
      <c r="B141" s="148"/>
      <c r="C141" s="149"/>
      <c r="D141" s="148"/>
      <c r="E141" s="149"/>
      <c r="F141" s="204"/>
      <c r="G141" s="209"/>
      <c r="H141" s="396"/>
      <c r="I141" s="151"/>
      <c r="J141" s="148"/>
      <c r="K141" s="151"/>
      <c r="M141" s="206"/>
      <c r="N141" s="209"/>
      <c r="O141" s="147"/>
    </row>
    <row r="142" spans="1:15" s="150" customFormat="1" ht="16.5">
      <c r="A142" s="393"/>
      <c r="B142" s="148"/>
      <c r="C142" s="149"/>
      <c r="D142" s="148"/>
      <c r="E142" s="149"/>
      <c r="F142" s="204"/>
      <c r="G142" s="209"/>
      <c r="H142" s="396"/>
      <c r="I142" s="151"/>
      <c r="J142" s="148"/>
      <c r="K142" s="151"/>
      <c r="M142" s="206"/>
      <c r="N142" s="209"/>
      <c r="O142" s="147"/>
    </row>
    <row r="143" spans="1:15" s="150" customFormat="1" ht="16.5">
      <c r="A143" s="393"/>
      <c r="B143" s="148"/>
      <c r="C143" s="149"/>
      <c r="D143" s="148"/>
      <c r="E143" s="149"/>
      <c r="F143" s="204"/>
      <c r="G143" s="209"/>
      <c r="H143" s="396"/>
      <c r="I143" s="151"/>
      <c r="J143" s="148"/>
      <c r="K143" s="151"/>
      <c r="M143" s="206"/>
      <c r="N143" s="209"/>
      <c r="O143" s="147"/>
    </row>
    <row r="144" spans="1:15" s="150" customFormat="1" ht="16.5">
      <c r="A144" s="393"/>
      <c r="B144" s="148"/>
      <c r="C144" s="149"/>
      <c r="D144" s="148"/>
      <c r="E144" s="149"/>
      <c r="F144" s="204"/>
      <c r="G144" s="209"/>
      <c r="H144" s="396"/>
      <c r="I144" s="151"/>
      <c r="J144" s="148"/>
      <c r="K144" s="151"/>
      <c r="M144" s="206"/>
      <c r="N144" s="209"/>
      <c r="O144" s="147"/>
    </row>
    <row r="145" spans="1:15" s="150" customFormat="1" ht="16.5">
      <c r="A145" s="393"/>
      <c r="B145" s="148"/>
      <c r="C145" s="149"/>
      <c r="D145" s="148"/>
      <c r="E145" s="149"/>
      <c r="F145" s="204"/>
      <c r="G145" s="209"/>
      <c r="H145" s="396"/>
      <c r="I145" s="151"/>
      <c r="J145" s="148"/>
      <c r="K145" s="151"/>
      <c r="M145" s="206"/>
      <c r="N145" s="209"/>
      <c r="O145" s="147"/>
    </row>
    <row r="146" spans="1:15" s="150" customFormat="1" ht="21.75" customHeight="1">
      <c r="A146" s="393"/>
      <c r="B146" s="148"/>
      <c r="C146" s="149"/>
      <c r="D146" s="148"/>
      <c r="E146" s="149"/>
      <c r="F146" s="204"/>
      <c r="G146" s="209"/>
      <c r="H146" s="396"/>
      <c r="I146" s="151"/>
      <c r="J146" s="148"/>
      <c r="K146" s="151"/>
      <c r="M146" s="206"/>
      <c r="N146" s="209"/>
      <c r="O146" s="147"/>
    </row>
    <row r="147" spans="1:15" s="150" customFormat="1" ht="21.75" customHeight="1">
      <c r="A147" s="393"/>
      <c r="B147" s="148"/>
      <c r="C147" s="149"/>
      <c r="D147" s="148"/>
      <c r="E147" s="149"/>
      <c r="F147" s="204"/>
      <c r="G147" s="209"/>
      <c r="H147" s="396"/>
      <c r="I147" s="151"/>
      <c r="J147" s="148"/>
      <c r="K147" s="151"/>
      <c r="M147" s="206"/>
      <c r="N147" s="209"/>
      <c r="O147" s="147"/>
    </row>
    <row r="148" spans="1:15" s="150" customFormat="1" ht="21.75" customHeight="1">
      <c r="A148" s="393"/>
      <c r="B148" s="148"/>
      <c r="C148" s="149"/>
      <c r="D148" s="148"/>
      <c r="E148" s="149"/>
      <c r="F148" s="204"/>
      <c r="G148" s="209"/>
      <c r="H148" s="396"/>
      <c r="I148" s="151"/>
      <c r="J148" s="148"/>
      <c r="K148" s="151"/>
      <c r="M148" s="206"/>
      <c r="N148" s="209"/>
      <c r="O148" s="147"/>
    </row>
    <row r="149" spans="1:15" s="150" customFormat="1" ht="21.75" customHeight="1">
      <c r="A149" s="393"/>
      <c r="B149" s="148"/>
      <c r="C149" s="149"/>
      <c r="D149" s="148"/>
      <c r="E149" s="149"/>
      <c r="F149" s="204"/>
      <c r="G149" s="209"/>
      <c r="H149" s="396"/>
      <c r="I149" s="151"/>
      <c r="J149" s="148"/>
      <c r="K149" s="151"/>
      <c r="M149" s="206"/>
      <c r="N149" s="209"/>
      <c r="O149" s="147"/>
    </row>
    <row r="150" spans="1:15" s="150" customFormat="1" ht="21.75" customHeight="1">
      <c r="A150" s="393"/>
      <c r="B150" s="148"/>
      <c r="C150" s="149"/>
      <c r="D150" s="148"/>
      <c r="E150" s="149"/>
      <c r="F150" s="204"/>
      <c r="G150" s="209"/>
      <c r="H150" s="396"/>
      <c r="I150" s="151"/>
      <c r="J150" s="148"/>
      <c r="K150" s="151"/>
      <c r="M150" s="206"/>
      <c r="N150" s="209"/>
      <c r="O150" s="147"/>
    </row>
    <row r="151" spans="1:15" s="150" customFormat="1" ht="21.75" customHeight="1">
      <c r="A151" s="393"/>
      <c r="B151" s="148"/>
      <c r="C151" s="149"/>
      <c r="D151" s="148"/>
      <c r="E151" s="149"/>
      <c r="F151" s="204"/>
      <c r="G151" s="209"/>
      <c r="H151" s="396"/>
      <c r="I151" s="151"/>
      <c r="J151" s="148"/>
      <c r="K151" s="151"/>
      <c r="M151" s="206"/>
      <c r="N151" s="209"/>
      <c r="O151" s="147"/>
    </row>
    <row r="152" spans="1:15" s="150" customFormat="1" ht="21.75" customHeight="1">
      <c r="A152" s="393"/>
      <c r="B152" s="148"/>
      <c r="C152" s="149"/>
      <c r="D152" s="148"/>
      <c r="E152" s="149"/>
      <c r="F152" s="204"/>
      <c r="G152" s="209"/>
      <c r="H152" s="396"/>
      <c r="I152" s="151"/>
      <c r="J152" s="148"/>
      <c r="K152" s="151"/>
      <c r="M152" s="206"/>
      <c r="N152" s="209"/>
      <c r="O152" s="147"/>
    </row>
    <row r="153" spans="1:15" s="150" customFormat="1" ht="21.75" customHeight="1">
      <c r="A153" s="393"/>
      <c r="B153" s="148"/>
      <c r="C153" s="149"/>
      <c r="D153" s="148"/>
      <c r="E153" s="149"/>
      <c r="F153" s="204"/>
      <c r="G153" s="209"/>
      <c r="H153" s="396"/>
      <c r="I153" s="151"/>
      <c r="J153" s="148"/>
      <c r="K153" s="151"/>
      <c r="M153" s="206"/>
      <c r="N153" s="209"/>
      <c r="O153" s="147"/>
    </row>
    <row r="154" spans="1:15" s="150" customFormat="1" ht="21.75" customHeight="1">
      <c r="A154" s="393"/>
      <c r="B154" s="148"/>
      <c r="C154" s="149"/>
      <c r="D154" s="148"/>
      <c r="E154" s="149"/>
      <c r="F154" s="204"/>
      <c r="G154" s="209"/>
      <c r="H154" s="396"/>
      <c r="I154" s="151"/>
      <c r="J154" s="148"/>
      <c r="K154" s="151"/>
      <c r="M154" s="206"/>
      <c r="N154" s="209"/>
      <c r="O154" s="147"/>
    </row>
    <row r="155" spans="1:15" s="150" customFormat="1" ht="21.75" customHeight="1">
      <c r="A155" s="393"/>
      <c r="B155" s="148"/>
      <c r="C155" s="149"/>
      <c r="D155" s="148"/>
      <c r="E155" s="149"/>
      <c r="F155" s="204"/>
      <c r="G155" s="209"/>
      <c r="H155" s="396"/>
      <c r="I155" s="151"/>
      <c r="J155" s="148"/>
      <c r="K155" s="151"/>
      <c r="M155" s="206"/>
      <c r="N155" s="209"/>
      <c r="O155" s="147"/>
    </row>
    <row r="156" spans="1:15" s="150" customFormat="1" ht="21.75" customHeight="1">
      <c r="A156" s="393"/>
      <c r="B156" s="148"/>
      <c r="C156" s="149"/>
      <c r="D156" s="148"/>
      <c r="E156" s="149"/>
      <c r="F156" s="204"/>
      <c r="G156" s="209"/>
      <c r="H156" s="396"/>
      <c r="I156" s="151"/>
      <c r="J156" s="148"/>
      <c r="K156" s="151"/>
      <c r="M156" s="206"/>
      <c r="N156" s="209"/>
      <c r="O156" s="147"/>
    </row>
    <row r="157" spans="1:15" s="150" customFormat="1" ht="21.75" customHeight="1">
      <c r="A157" s="393"/>
      <c r="B157" s="148"/>
      <c r="C157" s="149"/>
      <c r="D157" s="148"/>
      <c r="E157" s="149"/>
      <c r="F157" s="204"/>
      <c r="G157" s="209"/>
      <c r="H157" s="396"/>
      <c r="I157" s="151"/>
      <c r="J157" s="148"/>
      <c r="K157" s="151"/>
      <c r="M157" s="206"/>
      <c r="N157" s="209"/>
      <c r="O157" s="147"/>
    </row>
    <row r="158" spans="1:15" s="150" customFormat="1" ht="21.75" customHeight="1">
      <c r="A158" s="393"/>
      <c r="B158" s="148"/>
      <c r="C158" s="149"/>
      <c r="D158" s="148"/>
      <c r="E158" s="149"/>
      <c r="F158" s="204"/>
      <c r="G158" s="209"/>
      <c r="H158" s="396"/>
      <c r="I158" s="151"/>
      <c r="J158" s="148"/>
      <c r="K158" s="151"/>
      <c r="M158" s="206"/>
      <c r="N158" s="209"/>
      <c r="O158" s="147"/>
    </row>
    <row r="159" spans="1:15" s="150" customFormat="1" ht="21.75" customHeight="1">
      <c r="A159" s="393"/>
      <c r="B159" s="148"/>
      <c r="C159" s="149"/>
      <c r="D159" s="148"/>
      <c r="E159" s="149"/>
      <c r="F159" s="204"/>
      <c r="G159" s="209"/>
      <c r="H159" s="396"/>
      <c r="I159" s="151"/>
      <c r="J159" s="148"/>
      <c r="K159" s="151"/>
      <c r="M159" s="206"/>
      <c r="N159" s="209"/>
      <c r="O159" s="147"/>
    </row>
    <row r="160" spans="1:15" s="150" customFormat="1" ht="21.75" customHeight="1">
      <c r="A160" s="393"/>
      <c r="B160" s="148"/>
      <c r="C160" s="149"/>
      <c r="D160" s="148"/>
      <c r="E160" s="149"/>
      <c r="F160" s="204"/>
      <c r="G160" s="209"/>
      <c r="H160" s="396"/>
      <c r="I160" s="151"/>
      <c r="J160" s="148"/>
      <c r="K160" s="151"/>
      <c r="M160" s="206"/>
      <c r="N160" s="209"/>
      <c r="O160" s="147"/>
    </row>
    <row r="161" spans="1:15" s="150" customFormat="1" ht="21.75" customHeight="1">
      <c r="A161" s="393"/>
      <c r="B161" s="148"/>
      <c r="C161" s="149"/>
      <c r="D161" s="148"/>
      <c r="E161" s="149"/>
      <c r="F161" s="204"/>
      <c r="G161" s="209"/>
      <c r="H161" s="396"/>
      <c r="I161" s="151"/>
      <c r="J161" s="148"/>
      <c r="K161" s="151"/>
      <c r="M161" s="206"/>
      <c r="N161" s="209"/>
      <c r="O161" s="147"/>
    </row>
    <row r="162" spans="1:15" s="150" customFormat="1" ht="21.75" customHeight="1">
      <c r="A162" s="393"/>
      <c r="B162" s="148"/>
      <c r="C162" s="149"/>
      <c r="D162" s="148"/>
      <c r="E162" s="149"/>
      <c r="F162" s="204"/>
      <c r="G162" s="209"/>
      <c r="H162" s="396"/>
      <c r="I162" s="151"/>
      <c r="J162" s="148"/>
      <c r="K162" s="151"/>
      <c r="M162" s="206"/>
      <c r="N162" s="209"/>
      <c r="O162" s="147"/>
    </row>
    <row r="163" spans="1:15" s="150" customFormat="1" ht="21.75" customHeight="1">
      <c r="A163" s="393"/>
      <c r="B163" s="148"/>
      <c r="C163" s="149"/>
      <c r="D163" s="148"/>
      <c r="E163" s="149"/>
      <c r="F163" s="204"/>
      <c r="G163" s="209"/>
      <c r="H163" s="396"/>
      <c r="I163" s="151"/>
      <c r="J163" s="148"/>
      <c r="K163" s="151"/>
      <c r="M163" s="206"/>
      <c r="N163" s="209"/>
      <c r="O163" s="147"/>
    </row>
    <row r="164" spans="1:15" s="150" customFormat="1" ht="21.75" customHeight="1">
      <c r="A164" s="393"/>
      <c r="B164" s="148"/>
      <c r="C164" s="149"/>
      <c r="D164" s="148"/>
      <c r="E164" s="149"/>
      <c r="F164" s="204"/>
      <c r="G164" s="209"/>
      <c r="H164" s="396"/>
      <c r="I164" s="151"/>
      <c r="J164" s="148"/>
      <c r="K164" s="151"/>
      <c r="M164" s="206"/>
      <c r="N164" s="209"/>
      <c r="O164" s="147"/>
    </row>
    <row r="165" spans="1:15" s="150" customFormat="1" ht="21.75" customHeight="1">
      <c r="A165" s="393"/>
      <c r="B165" s="148"/>
      <c r="C165" s="149"/>
      <c r="D165" s="148"/>
      <c r="E165" s="149"/>
      <c r="F165" s="204"/>
      <c r="G165" s="209"/>
      <c r="H165" s="396"/>
      <c r="I165" s="151"/>
      <c r="J165" s="148"/>
      <c r="K165" s="151"/>
      <c r="M165" s="206"/>
      <c r="N165" s="209"/>
      <c r="O165" s="147"/>
    </row>
    <row r="166" spans="1:15" s="150" customFormat="1" ht="21.75" customHeight="1">
      <c r="A166" s="393"/>
      <c r="B166" s="148"/>
      <c r="C166" s="149"/>
      <c r="D166" s="148"/>
      <c r="E166" s="149"/>
      <c r="F166" s="204"/>
      <c r="G166" s="209"/>
      <c r="H166" s="396"/>
      <c r="I166" s="151"/>
      <c r="J166" s="148"/>
      <c r="K166" s="151"/>
      <c r="M166" s="206"/>
      <c r="N166" s="209"/>
      <c r="O166" s="147"/>
    </row>
    <row r="167" spans="1:15" s="150" customFormat="1" ht="21.75" customHeight="1">
      <c r="A167" s="393"/>
      <c r="B167" s="148"/>
      <c r="C167" s="149"/>
      <c r="D167" s="148"/>
      <c r="E167" s="149"/>
      <c r="F167" s="204"/>
      <c r="G167" s="209"/>
      <c r="H167" s="396"/>
      <c r="I167" s="151"/>
      <c r="J167" s="148"/>
      <c r="K167" s="151"/>
      <c r="M167" s="206"/>
      <c r="N167" s="209"/>
      <c r="O167" s="147"/>
    </row>
    <row r="168" spans="1:15" s="150" customFormat="1" ht="21.75" customHeight="1">
      <c r="A168" s="393"/>
      <c r="B168" s="148"/>
      <c r="C168" s="149"/>
      <c r="D168" s="148"/>
      <c r="E168" s="149"/>
      <c r="F168" s="204"/>
      <c r="G168" s="209"/>
      <c r="H168" s="396"/>
      <c r="I168" s="151"/>
      <c r="J168" s="148"/>
      <c r="K168" s="151"/>
      <c r="M168" s="206"/>
      <c r="N168" s="209"/>
      <c r="O168" s="147"/>
    </row>
    <row r="169" spans="1:15" s="150" customFormat="1" ht="21.75" customHeight="1">
      <c r="A169" s="393"/>
      <c r="B169" s="148"/>
      <c r="C169" s="149"/>
      <c r="D169" s="148"/>
      <c r="E169" s="149"/>
      <c r="F169" s="204"/>
      <c r="G169" s="209"/>
      <c r="H169" s="396"/>
      <c r="I169" s="151"/>
      <c r="J169" s="148"/>
      <c r="K169" s="151"/>
      <c r="M169" s="206"/>
      <c r="N169" s="209"/>
      <c r="O169" s="147"/>
    </row>
    <row r="170" spans="1:15" s="150" customFormat="1" ht="21.75" customHeight="1">
      <c r="A170" s="393"/>
      <c r="B170" s="148"/>
      <c r="C170" s="149"/>
      <c r="D170" s="148"/>
      <c r="E170" s="149"/>
      <c r="F170" s="204"/>
      <c r="G170" s="209"/>
      <c r="H170" s="396"/>
      <c r="I170" s="151"/>
      <c r="J170" s="148"/>
      <c r="K170" s="151"/>
      <c r="M170" s="206"/>
      <c r="N170" s="209"/>
      <c r="O170" s="147"/>
    </row>
    <row r="171" spans="1:15" s="150" customFormat="1" ht="21.75" customHeight="1">
      <c r="A171" s="393"/>
      <c r="B171" s="148"/>
      <c r="C171" s="149"/>
      <c r="D171" s="148"/>
      <c r="E171" s="149"/>
      <c r="F171" s="204"/>
      <c r="G171" s="209"/>
      <c r="H171" s="396"/>
      <c r="I171" s="151"/>
      <c r="J171" s="148"/>
      <c r="K171" s="151"/>
      <c r="M171" s="206"/>
      <c r="N171" s="209"/>
      <c r="O171" s="147"/>
    </row>
    <row r="172" spans="1:15" s="150" customFormat="1" ht="21.75" customHeight="1">
      <c r="A172" s="393"/>
      <c r="B172" s="148"/>
      <c r="C172" s="149"/>
      <c r="D172" s="148"/>
      <c r="E172" s="149"/>
      <c r="F172" s="204"/>
      <c r="G172" s="209"/>
      <c r="H172" s="396"/>
      <c r="I172" s="151"/>
      <c r="J172" s="148"/>
      <c r="K172" s="151"/>
      <c r="M172" s="206"/>
      <c r="N172" s="209"/>
      <c r="O172" s="147"/>
    </row>
    <row r="173" spans="1:15" s="150" customFormat="1" ht="21.75" customHeight="1">
      <c r="A173" s="393"/>
      <c r="B173" s="148"/>
      <c r="C173" s="149"/>
      <c r="D173" s="148"/>
      <c r="E173" s="149"/>
      <c r="F173" s="204"/>
      <c r="G173" s="209"/>
      <c r="H173" s="396"/>
      <c r="I173" s="151"/>
      <c r="J173" s="148"/>
      <c r="K173" s="151"/>
      <c r="M173" s="206"/>
      <c r="N173" s="209"/>
      <c r="O173" s="147"/>
    </row>
    <row r="174" spans="1:15" s="150" customFormat="1" ht="21.75" customHeight="1">
      <c r="A174" s="393"/>
      <c r="B174" s="148"/>
      <c r="C174" s="149"/>
      <c r="D174" s="148"/>
      <c r="E174" s="149"/>
      <c r="F174" s="204"/>
      <c r="G174" s="209"/>
      <c r="H174" s="396"/>
      <c r="I174" s="151"/>
      <c r="J174" s="148"/>
      <c r="K174" s="151"/>
      <c r="M174" s="206"/>
      <c r="N174" s="209"/>
      <c r="O174" s="147"/>
    </row>
    <row r="175" spans="1:15" s="150" customFormat="1" ht="21.75" customHeight="1">
      <c r="A175" s="393"/>
      <c r="B175" s="148"/>
      <c r="C175" s="149"/>
      <c r="D175" s="148"/>
      <c r="E175" s="149"/>
      <c r="F175" s="204"/>
      <c r="G175" s="209"/>
      <c r="H175" s="396"/>
      <c r="I175" s="151"/>
      <c r="J175" s="148"/>
      <c r="K175" s="151"/>
      <c r="M175" s="206"/>
      <c r="N175" s="209"/>
      <c r="O175" s="147"/>
    </row>
    <row r="176" spans="1:15" s="150" customFormat="1" ht="21.75" customHeight="1">
      <c r="A176" s="393"/>
      <c r="B176" s="148"/>
      <c r="C176" s="149"/>
      <c r="D176" s="148"/>
      <c r="E176" s="149"/>
      <c r="F176" s="204"/>
      <c r="G176" s="209"/>
      <c r="H176" s="396"/>
      <c r="I176" s="151"/>
      <c r="J176" s="148"/>
      <c r="K176" s="151"/>
      <c r="M176" s="206"/>
      <c r="N176" s="209"/>
      <c r="O176" s="147"/>
    </row>
    <row r="177" spans="1:15" s="150" customFormat="1" ht="21.75" customHeight="1">
      <c r="A177" s="393"/>
      <c r="B177" s="148"/>
      <c r="C177" s="149"/>
      <c r="D177" s="148"/>
      <c r="E177" s="149"/>
      <c r="F177" s="204"/>
      <c r="G177" s="209"/>
      <c r="H177" s="396"/>
      <c r="I177" s="151"/>
      <c r="J177" s="148"/>
      <c r="K177" s="151"/>
      <c r="M177" s="206"/>
      <c r="N177" s="209"/>
      <c r="O177" s="147"/>
    </row>
    <row r="178" spans="1:15" s="150" customFormat="1" ht="21.75" customHeight="1">
      <c r="A178" s="393"/>
      <c r="B178" s="148"/>
      <c r="C178" s="149"/>
      <c r="D178" s="148"/>
      <c r="E178" s="149"/>
      <c r="F178" s="204"/>
      <c r="G178" s="209"/>
      <c r="H178" s="396"/>
      <c r="I178" s="151"/>
      <c r="J178" s="148"/>
      <c r="K178" s="151"/>
      <c r="M178" s="206"/>
      <c r="N178" s="209"/>
      <c r="O178" s="147"/>
    </row>
    <row r="179" spans="1:15" s="150" customFormat="1" ht="21.75" customHeight="1">
      <c r="A179" s="393"/>
      <c r="B179" s="148"/>
      <c r="C179" s="149"/>
      <c r="D179" s="148"/>
      <c r="E179" s="149"/>
      <c r="F179" s="204"/>
      <c r="G179" s="209"/>
      <c r="H179" s="396"/>
      <c r="I179" s="151"/>
      <c r="J179" s="148"/>
      <c r="K179" s="151"/>
      <c r="M179" s="206"/>
      <c r="N179" s="209"/>
      <c r="O179" s="147"/>
    </row>
    <row r="180" spans="1:15" s="150" customFormat="1" ht="21.75" customHeight="1">
      <c r="A180" s="393"/>
      <c r="B180" s="148"/>
      <c r="C180" s="149"/>
      <c r="D180" s="148"/>
      <c r="E180" s="149"/>
      <c r="F180" s="204"/>
      <c r="G180" s="209"/>
      <c r="H180" s="396"/>
      <c r="I180" s="151"/>
      <c r="J180" s="148"/>
      <c r="K180" s="151"/>
      <c r="M180" s="206"/>
      <c r="N180" s="209"/>
      <c r="O180" s="147"/>
    </row>
    <row r="181" spans="1:15" s="150" customFormat="1" ht="21.75" customHeight="1">
      <c r="A181" s="393"/>
      <c r="B181" s="148"/>
      <c r="C181" s="149"/>
      <c r="D181" s="148"/>
      <c r="E181" s="149"/>
      <c r="F181" s="204"/>
      <c r="G181" s="209"/>
      <c r="H181" s="396"/>
      <c r="I181" s="151"/>
      <c r="J181" s="148"/>
      <c r="K181" s="151"/>
      <c r="M181" s="206"/>
      <c r="N181" s="209"/>
      <c r="O181" s="147"/>
    </row>
    <row r="182" spans="1:15" s="150" customFormat="1" ht="21.75" customHeight="1">
      <c r="A182" s="393"/>
      <c r="B182" s="148"/>
      <c r="C182" s="149"/>
      <c r="D182" s="148"/>
      <c r="E182" s="149"/>
      <c r="F182" s="204"/>
      <c r="G182" s="209"/>
      <c r="H182" s="396"/>
      <c r="I182" s="151"/>
      <c r="J182" s="148"/>
      <c r="K182" s="151"/>
      <c r="M182" s="206"/>
      <c r="N182" s="209"/>
      <c r="O182" s="147"/>
    </row>
    <row r="183" spans="1:15" s="150" customFormat="1" ht="21.75" customHeight="1">
      <c r="A183" s="393"/>
      <c r="B183" s="148"/>
      <c r="C183" s="149"/>
      <c r="D183" s="148"/>
      <c r="E183" s="149"/>
      <c r="F183" s="204"/>
      <c r="G183" s="209"/>
      <c r="H183" s="396"/>
      <c r="I183" s="151"/>
      <c r="J183" s="148"/>
      <c r="K183" s="151"/>
      <c r="M183" s="206"/>
      <c r="N183" s="209"/>
      <c r="O183" s="147"/>
    </row>
    <row r="184" spans="1:15" s="150" customFormat="1" ht="21.75" customHeight="1">
      <c r="A184" s="393"/>
      <c r="B184" s="148"/>
      <c r="C184" s="149"/>
      <c r="D184" s="148"/>
      <c r="E184" s="149"/>
      <c r="F184" s="204"/>
      <c r="G184" s="209"/>
      <c r="H184" s="396"/>
      <c r="I184" s="151"/>
      <c r="J184" s="148"/>
      <c r="K184" s="151"/>
      <c r="M184" s="206"/>
      <c r="N184" s="209"/>
      <c r="O184" s="147"/>
    </row>
    <row r="185" spans="1:15" s="150" customFormat="1" ht="21.75" customHeight="1">
      <c r="A185" s="393"/>
      <c r="B185" s="148"/>
      <c r="C185" s="149"/>
      <c r="D185" s="148"/>
      <c r="E185" s="149"/>
      <c r="F185" s="204"/>
      <c r="G185" s="209"/>
      <c r="H185" s="396"/>
      <c r="I185" s="151"/>
      <c r="J185" s="148"/>
      <c r="K185" s="151"/>
      <c r="M185" s="206"/>
      <c r="N185" s="209"/>
      <c r="O185" s="147"/>
    </row>
    <row r="186" spans="1:15" s="150" customFormat="1" ht="21.75" customHeight="1">
      <c r="A186" s="393"/>
      <c r="B186" s="148"/>
      <c r="C186" s="149"/>
      <c r="D186" s="148"/>
      <c r="E186" s="149"/>
      <c r="F186" s="204"/>
      <c r="G186" s="209"/>
      <c r="H186" s="396"/>
      <c r="I186" s="151"/>
      <c r="J186" s="148"/>
      <c r="K186" s="151"/>
      <c r="M186" s="206"/>
      <c r="N186" s="209"/>
      <c r="O186" s="147"/>
    </row>
    <row r="187" spans="1:15" s="150" customFormat="1" ht="21.75" customHeight="1">
      <c r="A187" s="393"/>
      <c r="B187" s="148"/>
      <c r="C187" s="149"/>
      <c r="D187" s="148"/>
      <c r="E187" s="149"/>
      <c r="F187" s="204"/>
      <c r="G187" s="209"/>
      <c r="H187" s="396"/>
      <c r="I187" s="151"/>
      <c r="J187" s="148"/>
      <c r="K187" s="151"/>
      <c r="M187" s="206"/>
      <c r="N187" s="209"/>
      <c r="O187" s="147"/>
    </row>
    <row r="188" spans="1:15" s="150" customFormat="1" ht="21.75" customHeight="1">
      <c r="A188" s="393"/>
      <c r="B188" s="148"/>
      <c r="C188" s="149"/>
      <c r="D188" s="148"/>
      <c r="E188" s="149"/>
      <c r="F188" s="204"/>
      <c r="G188" s="209"/>
      <c r="H188" s="396"/>
      <c r="I188" s="151"/>
      <c r="J188" s="148"/>
      <c r="K188" s="151"/>
      <c r="M188" s="206"/>
      <c r="N188" s="209"/>
      <c r="O188" s="147"/>
    </row>
    <row r="189" spans="1:15" s="150" customFormat="1" ht="21.75" customHeight="1">
      <c r="A189" s="393"/>
      <c r="B189" s="148"/>
      <c r="C189" s="149"/>
      <c r="D189" s="148"/>
      <c r="E189" s="149"/>
      <c r="F189" s="204"/>
      <c r="G189" s="209"/>
      <c r="H189" s="396"/>
      <c r="I189" s="151"/>
      <c r="J189" s="148"/>
      <c r="K189" s="151"/>
      <c r="M189" s="206"/>
      <c r="N189" s="209"/>
      <c r="O189" s="147"/>
    </row>
    <row r="190" spans="1:15" s="150" customFormat="1" ht="21.75" customHeight="1">
      <c r="A190" s="393"/>
      <c r="B190" s="148"/>
      <c r="C190" s="149"/>
      <c r="D190" s="148"/>
      <c r="E190" s="149"/>
      <c r="F190" s="204"/>
      <c r="G190" s="209"/>
      <c r="H190" s="396"/>
      <c r="I190" s="151"/>
      <c r="J190" s="148"/>
      <c r="K190" s="151"/>
      <c r="M190" s="206"/>
      <c r="N190" s="209"/>
      <c r="O190" s="147"/>
    </row>
    <row r="191" spans="1:15" s="150" customFormat="1" ht="21.75" customHeight="1">
      <c r="A191" s="393"/>
      <c r="B191" s="148"/>
      <c r="C191" s="149"/>
      <c r="D191" s="148"/>
      <c r="E191" s="149"/>
      <c r="F191" s="204"/>
      <c r="G191" s="209"/>
      <c r="H191" s="396"/>
      <c r="I191" s="151"/>
      <c r="J191" s="148"/>
      <c r="K191" s="151"/>
      <c r="M191" s="206"/>
      <c r="N191" s="209"/>
      <c r="O191" s="147"/>
    </row>
    <row r="192" spans="1:15" s="150" customFormat="1" ht="21.75" customHeight="1">
      <c r="A192" s="393"/>
      <c r="B192" s="148"/>
      <c r="C192" s="149"/>
      <c r="D192" s="148"/>
      <c r="E192" s="149"/>
      <c r="F192" s="204"/>
      <c r="G192" s="209"/>
      <c r="H192" s="396"/>
      <c r="I192" s="151"/>
      <c r="J192" s="148"/>
      <c r="K192" s="151"/>
      <c r="M192" s="206"/>
      <c r="N192" s="209"/>
      <c r="O192" s="147"/>
    </row>
    <row r="193" spans="1:15" s="150" customFormat="1" ht="21.75" customHeight="1">
      <c r="A193" s="393"/>
      <c r="B193" s="148"/>
      <c r="C193" s="149"/>
      <c r="D193" s="148"/>
      <c r="E193" s="149"/>
      <c r="F193" s="204"/>
      <c r="G193" s="209"/>
      <c r="H193" s="396"/>
      <c r="I193" s="151"/>
      <c r="J193" s="148"/>
      <c r="K193" s="151"/>
      <c r="M193" s="206"/>
      <c r="N193" s="209"/>
      <c r="O193" s="147"/>
    </row>
    <row r="194" spans="1:15" s="150" customFormat="1" ht="21.75" customHeight="1">
      <c r="A194" s="393"/>
      <c r="B194" s="148"/>
      <c r="C194" s="149"/>
      <c r="D194" s="148"/>
      <c r="E194" s="149"/>
      <c r="F194" s="204"/>
      <c r="G194" s="209"/>
      <c r="H194" s="396"/>
      <c r="I194" s="151"/>
      <c r="J194" s="148"/>
      <c r="K194" s="151"/>
      <c r="M194" s="206"/>
      <c r="N194" s="209"/>
      <c r="O194" s="147"/>
    </row>
    <row r="195" spans="1:15" s="150" customFormat="1" ht="21.75" customHeight="1">
      <c r="A195" s="393"/>
      <c r="B195" s="148"/>
      <c r="C195" s="149"/>
      <c r="D195" s="148"/>
      <c r="E195" s="149"/>
      <c r="F195" s="204"/>
      <c r="G195" s="209"/>
      <c r="H195" s="396"/>
      <c r="I195" s="151"/>
      <c r="J195" s="148"/>
      <c r="K195" s="151"/>
      <c r="M195" s="206"/>
      <c r="N195" s="209"/>
      <c r="O195" s="147"/>
    </row>
    <row r="196" spans="1:15" s="150" customFormat="1" ht="21.75" customHeight="1">
      <c r="A196" s="393"/>
      <c r="B196" s="148"/>
      <c r="C196" s="149"/>
      <c r="D196" s="148"/>
      <c r="E196" s="149"/>
      <c r="F196" s="204"/>
      <c r="G196" s="209"/>
      <c r="H196" s="396"/>
      <c r="I196" s="151"/>
      <c r="J196" s="148"/>
      <c r="K196" s="151"/>
      <c r="M196" s="206"/>
      <c r="N196" s="209"/>
      <c r="O196" s="147"/>
    </row>
    <row r="197" spans="1:15" s="150" customFormat="1" ht="21.75" customHeight="1">
      <c r="A197" s="393"/>
      <c r="B197" s="148"/>
      <c r="C197" s="149"/>
      <c r="D197" s="148"/>
      <c r="E197" s="149"/>
      <c r="F197" s="204"/>
      <c r="G197" s="209"/>
      <c r="H197" s="396"/>
      <c r="I197" s="151"/>
      <c r="J197" s="148"/>
      <c r="K197" s="151"/>
      <c r="M197" s="206"/>
      <c r="N197" s="209"/>
      <c r="O197" s="147"/>
    </row>
    <row r="198" spans="1:15" s="150" customFormat="1" ht="21.75" customHeight="1">
      <c r="A198" s="393"/>
      <c r="B198" s="148"/>
      <c r="C198" s="149"/>
      <c r="D198" s="148"/>
      <c r="E198" s="149"/>
      <c r="F198" s="204"/>
      <c r="G198" s="209"/>
      <c r="H198" s="396"/>
      <c r="I198" s="151"/>
      <c r="J198" s="148"/>
      <c r="K198" s="151"/>
      <c r="M198" s="206"/>
      <c r="N198" s="209"/>
      <c r="O198" s="147"/>
    </row>
    <row r="199" spans="1:15" s="150" customFormat="1" ht="21.75" customHeight="1">
      <c r="A199" s="393"/>
      <c r="B199" s="148"/>
      <c r="C199" s="149"/>
      <c r="D199" s="148"/>
      <c r="E199" s="149"/>
      <c r="F199" s="204"/>
      <c r="G199" s="209"/>
      <c r="H199" s="396"/>
      <c r="I199" s="151"/>
      <c r="J199" s="148"/>
      <c r="K199" s="151"/>
      <c r="M199" s="206"/>
      <c r="N199" s="209"/>
      <c r="O199" s="147"/>
    </row>
    <row r="200" spans="1:15" s="150" customFormat="1" ht="21.75" customHeight="1">
      <c r="A200" s="393"/>
      <c r="B200" s="148"/>
      <c r="C200" s="149"/>
      <c r="D200" s="148"/>
      <c r="E200" s="149"/>
      <c r="F200" s="204"/>
      <c r="G200" s="209"/>
      <c r="H200" s="396"/>
      <c r="I200" s="151"/>
      <c r="J200" s="148"/>
      <c r="K200" s="151"/>
      <c r="M200" s="206"/>
      <c r="N200" s="209"/>
      <c r="O200" s="147"/>
    </row>
    <row r="201" spans="1:15" s="150" customFormat="1" ht="21.75" customHeight="1">
      <c r="A201" s="393"/>
      <c r="B201" s="148"/>
      <c r="C201" s="149"/>
      <c r="D201" s="148"/>
      <c r="E201" s="149"/>
      <c r="F201" s="204"/>
      <c r="G201" s="209"/>
      <c r="H201" s="396"/>
      <c r="I201" s="151"/>
      <c r="J201" s="148"/>
      <c r="K201" s="151"/>
      <c r="M201" s="206"/>
      <c r="N201" s="209"/>
      <c r="O201" s="147"/>
    </row>
    <row r="202" spans="1:15" s="150" customFormat="1" ht="21.75" customHeight="1">
      <c r="A202" s="393"/>
      <c r="B202" s="148"/>
      <c r="C202" s="149"/>
      <c r="D202" s="148"/>
      <c r="E202" s="149"/>
      <c r="F202" s="204"/>
      <c r="G202" s="209"/>
      <c r="H202" s="396"/>
      <c r="I202" s="151"/>
      <c r="J202" s="148"/>
      <c r="K202" s="151"/>
      <c r="M202" s="206"/>
      <c r="N202" s="209"/>
      <c r="O202" s="147"/>
    </row>
    <row r="203" spans="1:15" s="150" customFormat="1" ht="21.75" customHeight="1">
      <c r="A203" s="393"/>
      <c r="B203" s="148"/>
      <c r="C203" s="149"/>
      <c r="D203" s="148"/>
      <c r="E203" s="149"/>
      <c r="F203" s="204"/>
      <c r="G203" s="209"/>
      <c r="H203" s="396"/>
      <c r="I203" s="151"/>
      <c r="J203" s="148"/>
      <c r="K203" s="151"/>
      <c r="M203" s="206"/>
      <c r="N203" s="209"/>
      <c r="O203" s="147"/>
    </row>
    <row r="204" spans="1:15" s="150" customFormat="1" ht="21.75" customHeight="1">
      <c r="A204" s="393"/>
      <c r="B204" s="148"/>
      <c r="C204" s="149"/>
      <c r="D204" s="148"/>
      <c r="E204" s="149"/>
      <c r="F204" s="204"/>
      <c r="G204" s="209"/>
      <c r="H204" s="396"/>
      <c r="I204" s="151"/>
      <c r="J204" s="148"/>
      <c r="K204" s="151"/>
      <c r="M204" s="206"/>
      <c r="N204" s="209"/>
      <c r="O204" s="147"/>
    </row>
    <row r="205" spans="1:15" s="150" customFormat="1" ht="21.75" customHeight="1">
      <c r="A205" s="393"/>
      <c r="B205" s="148"/>
      <c r="C205" s="149"/>
      <c r="D205" s="148"/>
      <c r="E205" s="149"/>
      <c r="F205" s="204"/>
      <c r="G205" s="209"/>
      <c r="H205" s="396"/>
      <c r="I205" s="151"/>
      <c r="J205" s="148"/>
      <c r="K205" s="151"/>
      <c r="M205" s="206"/>
      <c r="N205" s="209"/>
      <c r="O205" s="147"/>
    </row>
    <row r="206" spans="1:15" s="150" customFormat="1" ht="21.75" customHeight="1">
      <c r="A206" s="393"/>
      <c r="B206" s="148"/>
      <c r="C206" s="149"/>
      <c r="D206" s="148"/>
      <c r="E206" s="149"/>
      <c r="F206" s="204"/>
      <c r="G206" s="209"/>
      <c r="H206" s="396"/>
      <c r="I206" s="151"/>
      <c r="J206" s="148"/>
      <c r="K206" s="151"/>
      <c r="M206" s="206"/>
      <c r="N206" s="209"/>
      <c r="O206" s="147"/>
    </row>
    <row r="207" spans="1:15" s="150" customFormat="1" ht="21.75" customHeight="1">
      <c r="A207" s="393"/>
      <c r="B207" s="148"/>
      <c r="C207" s="149"/>
      <c r="D207" s="148"/>
      <c r="E207" s="149"/>
      <c r="F207" s="204"/>
      <c r="G207" s="209"/>
      <c r="H207" s="396"/>
      <c r="I207" s="151"/>
      <c r="J207" s="148"/>
      <c r="K207" s="151"/>
      <c r="M207" s="206"/>
      <c r="N207" s="209"/>
      <c r="O207" s="147"/>
    </row>
    <row r="208" spans="1:15" s="150" customFormat="1" ht="21.75" customHeight="1">
      <c r="A208" s="393"/>
      <c r="B208" s="148"/>
      <c r="C208" s="149"/>
      <c r="D208" s="148"/>
      <c r="E208" s="149"/>
      <c r="F208" s="204"/>
      <c r="G208" s="209"/>
      <c r="H208" s="396"/>
      <c r="I208" s="151"/>
      <c r="J208" s="148"/>
      <c r="K208" s="151"/>
      <c r="M208" s="206"/>
      <c r="N208" s="209"/>
      <c r="O208" s="147"/>
    </row>
    <row r="209" spans="1:15" s="150" customFormat="1" ht="21.75" customHeight="1">
      <c r="A209" s="393"/>
      <c r="B209" s="148"/>
      <c r="C209" s="149"/>
      <c r="D209" s="148"/>
      <c r="E209" s="149"/>
      <c r="F209" s="204"/>
      <c r="G209" s="209"/>
      <c r="H209" s="396"/>
      <c r="I209" s="151"/>
      <c r="J209" s="148"/>
      <c r="K209" s="151"/>
      <c r="M209" s="206"/>
      <c r="N209" s="209"/>
      <c r="O209" s="147"/>
    </row>
    <row r="210" spans="1:15" s="150" customFormat="1" ht="21.75" customHeight="1">
      <c r="A210" s="393"/>
      <c r="B210" s="148"/>
      <c r="C210" s="149"/>
      <c r="D210" s="148"/>
      <c r="E210" s="149"/>
      <c r="F210" s="204"/>
      <c r="G210" s="209"/>
      <c r="H210" s="396"/>
      <c r="I210" s="151"/>
      <c r="J210" s="148"/>
      <c r="K210" s="151"/>
      <c r="M210" s="206"/>
      <c r="N210" s="209"/>
      <c r="O210" s="147"/>
    </row>
    <row r="211" spans="1:15" s="150" customFormat="1" ht="21.75" customHeight="1">
      <c r="A211" s="393"/>
      <c r="B211" s="148"/>
      <c r="C211" s="149"/>
      <c r="D211" s="148"/>
      <c r="E211" s="149"/>
      <c r="F211" s="204"/>
      <c r="G211" s="209"/>
      <c r="H211" s="396"/>
      <c r="I211" s="151"/>
      <c r="J211" s="148"/>
      <c r="K211" s="151"/>
      <c r="M211" s="206"/>
      <c r="N211" s="209"/>
      <c r="O211" s="147"/>
    </row>
    <row r="212" spans="1:15" s="150" customFormat="1" ht="21.75" customHeight="1">
      <c r="A212" s="393"/>
      <c r="B212" s="148"/>
      <c r="C212" s="149"/>
      <c r="D212" s="148"/>
      <c r="E212" s="149"/>
      <c r="F212" s="204"/>
      <c r="G212" s="209"/>
      <c r="H212" s="396"/>
      <c r="I212" s="151"/>
      <c r="J212" s="148"/>
      <c r="K212" s="151"/>
      <c r="M212" s="206"/>
      <c r="N212" s="209"/>
      <c r="O212" s="147"/>
    </row>
    <row r="213" spans="1:15" s="150" customFormat="1" ht="21.75" customHeight="1">
      <c r="A213" s="393"/>
      <c r="B213" s="148"/>
      <c r="C213" s="149"/>
      <c r="D213" s="148"/>
      <c r="E213" s="149"/>
      <c r="F213" s="204"/>
      <c r="G213" s="209"/>
      <c r="H213" s="396"/>
      <c r="I213" s="151"/>
      <c r="J213" s="148"/>
      <c r="K213" s="151"/>
      <c r="M213" s="206"/>
      <c r="N213" s="209"/>
      <c r="O213" s="147"/>
    </row>
    <row r="214" spans="1:15" s="150" customFormat="1" ht="21.75" customHeight="1">
      <c r="A214" s="393"/>
      <c r="B214" s="148"/>
      <c r="C214" s="149"/>
      <c r="D214" s="148"/>
      <c r="E214" s="149"/>
      <c r="F214" s="204"/>
      <c r="G214" s="209"/>
      <c r="H214" s="396"/>
      <c r="I214" s="151"/>
      <c r="J214" s="148"/>
      <c r="K214" s="151"/>
      <c r="M214" s="206"/>
      <c r="N214" s="209"/>
      <c r="O214" s="147"/>
    </row>
    <row r="215" spans="1:15" s="150" customFormat="1" ht="21.75" customHeight="1">
      <c r="A215" s="393"/>
      <c r="B215" s="148"/>
      <c r="C215" s="149"/>
      <c r="D215" s="148"/>
      <c r="E215" s="149"/>
      <c r="F215" s="204"/>
      <c r="G215" s="209"/>
      <c r="H215" s="396"/>
      <c r="I215" s="151"/>
      <c r="J215" s="148"/>
      <c r="K215" s="151"/>
      <c r="M215" s="206"/>
      <c r="N215" s="209"/>
      <c r="O215" s="147"/>
    </row>
    <row r="216" spans="1:15" s="150" customFormat="1" ht="21.75" customHeight="1">
      <c r="A216" s="393"/>
      <c r="B216" s="148"/>
      <c r="C216" s="149"/>
      <c r="D216" s="148"/>
      <c r="E216" s="149"/>
      <c r="F216" s="204"/>
      <c r="G216" s="209"/>
      <c r="H216" s="396"/>
      <c r="I216" s="151"/>
      <c r="J216" s="148"/>
      <c r="K216" s="151"/>
      <c r="M216" s="206"/>
      <c r="N216" s="209"/>
      <c r="O216" s="147"/>
    </row>
    <row r="217" spans="1:15" s="150" customFormat="1" ht="21.75" customHeight="1">
      <c r="A217" s="393"/>
      <c r="B217" s="148"/>
      <c r="C217" s="149"/>
      <c r="D217" s="148"/>
      <c r="E217" s="149"/>
      <c r="F217" s="204"/>
      <c r="G217" s="209"/>
      <c r="H217" s="396"/>
      <c r="I217" s="151"/>
      <c r="J217" s="148"/>
      <c r="K217" s="151"/>
      <c r="M217" s="206"/>
      <c r="N217" s="209"/>
      <c r="O217" s="147"/>
    </row>
    <row r="218" spans="1:15" s="150" customFormat="1" ht="21.75" customHeight="1">
      <c r="A218" s="393"/>
      <c r="B218" s="148"/>
      <c r="C218" s="149"/>
      <c r="D218" s="148"/>
      <c r="E218" s="149"/>
      <c r="F218" s="204"/>
      <c r="G218" s="209"/>
      <c r="H218" s="396"/>
      <c r="I218" s="151"/>
      <c r="J218" s="148"/>
      <c r="K218" s="151"/>
      <c r="M218" s="206"/>
      <c r="N218" s="209"/>
      <c r="O218" s="147"/>
    </row>
    <row r="219" spans="1:15" s="150" customFormat="1" ht="21.75" customHeight="1">
      <c r="A219" s="393"/>
      <c r="B219" s="148"/>
      <c r="C219" s="149"/>
      <c r="D219" s="148"/>
      <c r="E219" s="149"/>
      <c r="F219" s="204"/>
      <c r="G219" s="209"/>
      <c r="H219" s="396"/>
      <c r="I219" s="151"/>
      <c r="J219" s="148"/>
      <c r="K219" s="151"/>
      <c r="M219" s="206"/>
      <c r="N219" s="209"/>
      <c r="O219" s="147"/>
    </row>
    <row r="220" spans="1:15" s="150" customFormat="1" ht="21.75" customHeight="1">
      <c r="A220" s="393"/>
      <c r="B220" s="148"/>
      <c r="C220" s="149"/>
      <c r="D220" s="148"/>
      <c r="E220" s="149"/>
      <c r="F220" s="204"/>
      <c r="G220" s="209"/>
      <c r="H220" s="396"/>
      <c r="I220" s="151"/>
      <c r="J220" s="148"/>
      <c r="K220" s="151"/>
      <c r="M220" s="206"/>
      <c r="N220" s="209"/>
      <c r="O220" s="147"/>
    </row>
    <row r="221" spans="1:15" s="150" customFormat="1" ht="21.75" customHeight="1">
      <c r="A221" s="393"/>
      <c r="B221" s="148"/>
      <c r="C221" s="149"/>
      <c r="D221" s="148"/>
      <c r="E221" s="149"/>
      <c r="F221" s="204"/>
      <c r="G221" s="209"/>
      <c r="H221" s="396"/>
      <c r="I221" s="151"/>
      <c r="J221" s="148"/>
      <c r="K221" s="151"/>
      <c r="M221" s="206"/>
      <c r="N221" s="209"/>
      <c r="O221" s="147"/>
    </row>
  </sheetData>
  <mergeCells count="10">
    <mergeCell ref="A1:N1"/>
    <mergeCell ref="M2:N2"/>
    <mergeCell ref="A3:G3"/>
    <mergeCell ref="H3:N3"/>
    <mergeCell ref="K4:L4"/>
    <mergeCell ref="M4:N4"/>
    <mergeCell ref="B4:C4"/>
    <mergeCell ref="D4:E4"/>
    <mergeCell ref="F4:G4"/>
    <mergeCell ref="I4:J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 scaleWithDoc="0"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1"/>
    <pageSetUpPr fitToPage="1"/>
  </sheetPr>
  <dimension ref="A11:K12"/>
  <sheetViews>
    <sheetView view="pageBreakPreview" zoomScaleNormal="100" zoomScaleSheetLayoutView="100" workbookViewId="0">
      <selection activeCell="T18" sqref="T18"/>
    </sheetView>
  </sheetViews>
  <sheetFormatPr defaultRowHeight="16.5"/>
  <sheetData>
    <row r="11" spans="1:11" ht="61.5" customHeight="1">
      <c r="A11" s="3563"/>
      <c r="B11" s="3563"/>
      <c r="C11" s="3563"/>
      <c r="D11" s="3563"/>
      <c r="E11" s="3563"/>
      <c r="F11" s="3563"/>
      <c r="G11" s="3563"/>
      <c r="H11" s="3563"/>
      <c r="I11" s="3563"/>
      <c r="J11" s="3563"/>
      <c r="K11" s="3563"/>
    </row>
    <row r="12" spans="1:11" ht="16.5" customHeight="1"/>
  </sheetData>
  <mergeCells count="1">
    <mergeCell ref="A11:K11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scaleWithDoc="0">
    <oddFooter>&amp;C&amp;P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99FF"/>
    <pageSetUpPr fitToPage="1"/>
  </sheetPr>
  <dimension ref="A1:U322"/>
  <sheetViews>
    <sheetView view="pageBreakPreview" zoomScale="85" zoomScaleNormal="85" zoomScaleSheetLayoutView="85" workbookViewId="0">
      <selection activeCell="O46" sqref="O46"/>
    </sheetView>
  </sheetViews>
  <sheetFormatPr defaultColWidth="9" defaultRowHeight="13.5"/>
  <cols>
    <col min="1" max="1" width="3.625" style="3" customWidth="1"/>
    <col min="2" max="4" width="3.625" style="2" customWidth="1"/>
    <col min="5" max="5" width="10.625" style="3280" customWidth="1"/>
    <col min="6" max="6" width="21.5" style="3" customWidth="1"/>
    <col min="7" max="7" width="14.75" style="4" customWidth="1"/>
    <col min="8" max="8" width="2" style="3" customWidth="1"/>
    <col min="9" max="9" width="5.75" style="3" bestFit="1" customWidth="1"/>
    <col min="10" max="12" width="5.75" style="3" customWidth="1"/>
    <col min="13" max="13" width="2.125" style="3" customWidth="1"/>
    <col min="14" max="14" width="2.625" style="5" customWidth="1"/>
    <col min="15" max="15" width="16.875" style="3" customWidth="1"/>
    <col min="16" max="16" width="10.625" style="6" customWidth="1"/>
    <col min="17" max="18" width="10.625" style="7" customWidth="1"/>
    <col min="19" max="19" width="10.625" style="219" customWidth="1"/>
    <col min="20" max="20" width="9" style="3"/>
    <col min="21" max="21" width="13.75" style="3" customWidth="1"/>
    <col min="22" max="16384" width="9" style="3"/>
  </cols>
  <sheetData>
    <row r="1" spans="1:21" s="1" customFormat="1" ht="35.1" customHeight="1">
      <c r="A1" s="3640" t="s">
        <v>2083</v>
      </c>
      <c r="B1" s="3640"/>
      <c r="C1" s="3640"/>
      <c r="D1" s="3640"/>
      <c r="E1" s="3640"/>
      <c r="F1" s="3640"/>
      <c r="G1" s="3640"/>
      <c r="H1" s="3640"/>
      <c r="I1" s="3640"/>
      <c r="J1" s="3640"/>
      <c r="K1" s="3640"/>
      <c r="L1" s="3640"/>
      <c r="M1" s="3640"/>
      <c r="N1" s="3640"/>
      <c r="O1" s="3640"/>
      <c r="P1" s="3640"/>
      <c r="Q1" s="3640"/>
      <c r="R1" s="3640"/>
      <c r="S1" s="3640"/>
    </row>
    <row r="2" spans="1:21" ht="15" customHeight="1" thickBot="1">
      <c r="A2" s="495" t="s">
        <v>0</v>
      </c>
      <c r="B2" s="496"/>
      <c r="C2" s="496"/>
      <c r="D2" s="496"/>
      <c r="E2" s="543"/>
      <c r="F2" s="495"/>
      <c r="G2" s="497"/>
      <c r="H2" s="495"/>
      <c r="I2" s="495"/>
      <c r="J2" s="495"/>
      <c r="K2" s="495"/>
      <c r="L2" s="495"/>
      <c r="M2" s="495"/>
      <c r="N2" s="498"/>
      <c r="O2" s="495"/>
      <c r="P2" s="499"/>
      <c r="Q2" s="500"/>
      <c r="R2" s="3641" t="s">
        <v>1</v>
      </c>
      <c r="S2" s="3641"/>
    </row>
    <row r="3" spans="1:21" s="8" customFormat="1" ht="15" customHeight="1">
      <c r="A3" s="3642" t="s">
        <v>2</v>
      </c>
      <c r="B3" s="3643"/>
      <c r="C3" s="3643"/>
      <c r="D3" s="3643"/>
      <c r="E3" s="3644"/>
      <c r="F3" s="501"/>
      <c r="G3" s="3645" t="s">
        <v>3</v>
      </c>
      <c r="H3" s="3645"/>
      <c r="I3" s="3645"/>
      <c r="J3" s="3645"/>
      <c r="K3" s="3645"/>
      <c r="L3" s="3645"/>
      <c r="M3" s="3645"/>
      <c r="N3" s="3645"/>
      <c r="O3" s="3646"/>
      <c r="P3" s="3649" t="s">
        <v>4</v>
      </c>
      <c r="Q3" s="3651" t="s">
        <v>326</v>
      </c>
      <c r="R3" s="3653" t="s">
        <v>5</v>
      </c>
      <c r="S3" s="3655" t="s">
        <v>6</v>
      </c>
    </row>
    <row r="4" spans="1:21" s="8" customFormat="1" ht="15" customHeight="1" thickBot="1">
      <c r="A4" s="502" t="s">
        <v>7</v>
      </c>
      <c r="B4" s="503" t="s">
        <v>8</v>
      </c>
      <c r="C4" s="503" t="s">
        <v>9</v>
      </c>
      <c r="D4" s="503" t="s">
        <v>10</v>
      </c>
      <c r="E4" s="503" t="s">
        <v>11</v>
      </c>
      <c r="F4" s="504" t="s">
        <v>12</v>
      </c>
      <c r="G4" s="3647"/>
      <c r="H4" s="3647"/>
      <c r="I4" s="3647"/>
      <c r="J4" s="3647"/>
      <c r="K4" s="3647"/>
      <c r="L4" s="3647"/>
      <c r="M4" s="3647"/>
      <c r="N4" s="3647"/>
      <c r="O4" s="3648"/>
      <c r="P4" s="3650"/>
      <c r="Q4" s="3652"/>
      <c r="R4" s="3654"/>
      <c r="S4" s="3656"/>
    </row>
    <row r="5" spans="1:21" s="1" customFormat="1" ht="15" customHeight="1" thickBot="1">
      <c r="A5" s="505" t="s">
        <v>13</v>
      </c>
      <c r="B5" s="506"/>
      <c r="C5" s="507"/>
      <c r="D5" s="507"/>
      <c r="E5" s="507"/>
      <c r="F5" s="507"/>
      <c r="G5" s="508"/>
      <c r="H5" s="507"/>
      <c r="I5" s="507"/>
      <c r="J5" s="507"/>
      <c r="K5" s="507"/>
      <c r="L5" s="507"/>
      <c r="M5" s="507"/>
      <c r="N5" s="509"/>
      <c r="O5" s="507"/>
      <c r="P5" s="510">
        <f>P6+P23</f>
        <v>3623469000</v>
      </c>
      <c r="Q5" s="510">
        <f>Q6+Q23</f>
        <v>2212741000</v>
      </c>
      <c r="R5" s="511">
        <f t="shared" ref="R5:R10" si="0">+P5-Q5</f>
        <v>1410728000</v>
      </c>
      <c r="S5" s="512">
        <f t="shared" ref="S5:S10" si="1">+R5/Q5</f>
        <v>0.6375477292642926</v>
      </c>
    </row>
    <row r="6" spans="1:21" s="1" customFormat="1" ht="15" customHeight="1">
      <c r="A6" s="513"/>
      <c r="B6" s="514" t="s">
        <v>14</v>
      </c>
      <c r="C6" s="515"/>
      <c r="D6" s="515"/>
      <c r="E6" s="516"/>
      <c r="F6" s="516"/>
      <c r="G6" s="517"/>
      <c r="H6" s="516"/>
      <c r="I6" s="516"/>
      <c r="J6" s="516"/>
      <c r="K6" s="516"/>
      <c r="L6" s="516"/>
      <c r="M6" s="516"/>
      <c r="N6" s="518"/>
      <c r="O6" s="516"/>
      <c r="P6" s="519">
        <f>SUM(P7)</f>
        <v>3223469000</v>
      </c>
      <c r="Q6" s="519">
        <f>SUM(Q7)</f>
        <v>1603520000</v>
      </c>
      <c r="R6" s="520">
        <f t="shared" si="0"/>
        <v>1619949000</v>
      </c>
      <c r="S6" s="521">
        <f t="shared" si="1"/>
        <v>1.01024558471363</v>
      </c>
    </row>
    <row r="7" spans="1:21" s="1" customFormat="1" ht="15" customHeight="1">
      <c r="A7" s="513"/>
      <c r="B7" s="522"/>
      <c r="C7" s="3634" t="s">
        <v>15</v>
      </c>
      <c r="D7" s="3635"/>
      <c r="E7" s="3635"/>
      <c r="F7" s="3635"/>
      <c r="G7" s="3635"/>
      <c r="H7" s="3635"/>
      <c r="I7" s="3635"/>
      <c r="J7" s="3635"/>
      <c r="K7" s="3635"/>
      <c r="L7" s="3635"/>
      <c r="M7" s="3635"/>
      <c r="N7" s="3635"/>
      <c r="O7" s="3636"/>
      <c r="P7" s="528">
        <f>SUM(P8,P12,P19)</f>
        <v>3223469000</v>
      </c>
      <c r="Q7" s="528">
        <f>SUM(Q8,Q12,Q19)</f>
        <v>1603520000</v>
      </c>
      <c r="R7" s="529">
        <f t="shared" si="0"/>
        <v>1619949000</v>
      </c>
      <c r="S7" s="530">
        <f t="shared" si="1"/>
        <v>1.01024558471363</v>
      </c>
      <c r="U7" s="171"/>
    </row>
    <row r="8" spans="1:21" s="1" customFormat="1" ht="15" customHeight="1">
      <c r="A8" s="513"/>
      <c r="B8" s="522"/>
      <c r="C8" s="531"/>
      <c r="D8" s="532" t="s">
        <v>17</v>
      </c>
      <c r="E8" s="3275"/>
      <c r="F8" s="533"/>
      <c r="G8" s="534"/>
      <c r="H8" s="533"/>
      <c r="I8" s="533"/>
      <c r="J8" s="533"/>
      <c r="K8" s="533"/>
      <c r="L8" s="533"/>
      <c r="M8" s="533"/>
      <c r="N8" s="535"/>
      <c r="O8" s="533"/>
      <c r="P8" s="536">
        <f>P9</f>
        <v>900000</v>
      </c>
      <c r="Q8" s="536">
        <f>Q9</f>
        <v>720000</v>
      </c>
      <c r="R8" s="537">
        <f t="shared" si="0"/>
        <v>180000</v>
      </c>
      <c r="S8" s="538">
        <f t="shared" si="1"/>
        <v>0.25</v>
      </c>
    </row>
    <row r="9" spans="1:21" ht="15" customHeight="1">
      <c r="A9" s="513"/>
      <c r="B9" s="522"/>
      <c r="C9" s="531"/>
      <c r="D9" s="539"/>
      <c r="E9" s="3637" t="s">
        <v>18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540">
        <f>ROUNDUP(O10,-3)</f>
        <v>900000</v>
      </c>
      <c r="Q9" s="540">
        <v>720000</v>
      </c>
      <c r="R9" s="541">
        <f t="shared" si="0"/>
        <v>180000</v>
      </c>
      <c r="S9" s="542">
        <f t="shared" si="1"/>
        <v>0.25</v>
      </c>
    </row>
    <row r="10" spans="1:21" ht="15" customHeight="1">
      <c r="A10" s="513"/>
      <c r="B10" s="522"/>
      <c r="C10" s="531"/>
      <c r="D10" s="522"/>
      <c r="E10" s="3273"/>
      <c r="F10" s="544" t="s">
        <v>19</v>
      </c>
      <c r="G10" s="545"/>
      <c r="H10" s="544"/>
      <c r="I10" s="544"/>
      <c r="J10" s="544"/>
      <c r="K10" s="544"/>
      <c r="L10" s="544"/>
      <c r="M10" s="544"/>
      <c r="N10" s="546"/>
      <c r="O10" s="547">
        <f>SUM(O11:O11)</f>
        <v>900000</v>
      </c>
      <c r="P10" s="548">
        <v>900000</v>
      </c>
      <c r="Q10" s="548">
        <v>720000</v>
      </c>
      <c r="R10" s="549">
        <f t="shared" si="0"/>
        <v>180000</v>
      </c>
      <c r="S10" s="550">
        <f t="shared" si="1"/>
        <v>0.25</v>
      </c>
      <c r="U10" s="10"/>
    </row>
    <row r="11" spans="1:21" ht="15" customHeight="1">
      <c r="A11" s="513"/>
      <c r="B11" s="522"/>
      <c r="C11" s="531"/>
      <c r="D11" s="551"/>
      <c r="E11" s="3276"/>
      <c r="F11" s="552" t="s">
        <v>20</v>
      </c>
      <c r="G11" s="553">
        <v>900000</v>
      </c>
      <c r="H11" s="543" t="s">
        <v>21</v>
      </c>
      <c r="I11" s="554">
        <v>1</v>
      </c>
      <c r="J11" s="554"/>
      <c r="K11" s="554"/>
      <c r="L11" s="554"/>
      <c r="M11" s="543"/>
      <c r="N11" s="555" t="s">
        <v>22</v>
      </c>
      <c r="O11" s="556">
        <f>G11*I11</f>
        <v>900000</v>
      </c>
      <c r="P11" s="557"/>
      <c r="Q11" s="557"/>
      <c r="R11" s="558"/>
      <c r="S11" s="559"/>
    </row>
    <row r="12" spans="1:21" s="1" customFormat="1" ht="15" customHeight="1">
      <c r="A12" s="513"/>
      <c r="B12" s="522"/>
      <c r="C12" s="531"/>
      <c r="D12" s="532" t="s">
        <v>23</v>
      </c>
      <c r="E12" s="3275"/>
      <c r="F12" s="533"/>
      <c r="G12" s="534"/>
      <c r="H12" s="533"/>
      <c r="I12" s="533"/>
      <c r="J12" s="533"/>
      <c r="K12" s="533"/>
      <c r="L12" s="533"/>
      <c r="M12" s="533"/>
      <c r="N12" s="535"/>
      <c r="O12" s="533"/>
      <c r="P12" s="536">
        <f>P13</f>
        <v>0</v>
      </c>
      <c r="Q12" s="536">
        <f>Q13</f>
        <v>2800000</v>
      </c>
      <c r="R12" s="537">
        <f>+P12-Q12</f>
        <v>-2800000</v>
      </c>
      <c r="S12" s="538">
        <f>+R12/Q12</f>
        <v>-1</v>
      </c>
    </row>
    <row r="13" spans="1:21" ht="15" customHeight="1">
      <c r="A13" s="513"/>
      <c r="B13" s="522"/>
      <c r="C13" s="531"/>
      <c r="D13" s="539"/>
      <c r="E13" s="3637" t="s">
        <v>24</v>
      </c>
      <c r="F13" s="3638"/>
      <c r="G13" s="3638"/>
      <c r="H13" s="3638"/>
      <c r="I13" s="3638"/>
      <c r="J13" s="3638"/>
      <c r="K13" s="3638"/>
      <c r="L13" s="3638"/>
      <c r="M13" s="3638"/>
      <c r="N13" s="3638"/>
      <c r="O13" s="3639"/>
      <c r="P13" s="540">
        <f>ROUNDUP(O14+O16,-3)</f>
        <v>0</v>
      </c>
      <c r="Q13" s="540">
        <v>2800000</v>
      </c>
      <c r="R13" s="541">
        <f>+P13-Q13</f>
        <v>-2800000</v>
      </c>
      <c r="S13" s="542">
        <f>+R13/Q13</f>
        <v>-1</v>
      </c>
      <c r="U13" s="10"/>
    </row>
    <row r="14" spans="1:21" ht="15" hidden="1" customHeight="1">
      <c r="A14" s="513"/>
      <c r="B14" s="522"/>
      <c r="C14" s="531"/>
      <c r="D14" s="522"/>
      <c r="E14" s="3273"/>
      <c r="F14" s="560"/>
      <c r="G14" s="561"/>
      <c r="H14" s="562"/>
      <c r="I14" s="562"/>
      <c r="J14" s="562"/>
      <c r="K14" s="562"/>
      <c r="L14" s="562"/>
      <c r="M14" s="562"/>
      <c r="N14" s="563"/>
      <c r="O14" s="564"/>
      <c r="P14" s="557"/>
      <c r="Q14" s="557"/>
      <c r="R14" s="558"/>
      <c r="S14" s="559"/>
    </row>
    <row r="15" spans="1:21" ht="15" hidden="1" customHeight="1">
      <c r="A15" s="513"/>
      <c r="B15" s="522"/>
      <c r="C15" s="531"/>
      <c r="D15" s="522"/>
      <c r="E15" s="3273"/>
      <c r="F15" s="565"/>
      <c r="G15" s="566"/>
      <c r="H15" s="567"/>
      <c r="I15" s="568"/>
      <c r="J15" s="568"/>
      <c r="K15" s="568"/>
      <c r="L15" s="568"/>
      <c r="M15" s="562"/>
      <c r="N15" s="569"/>
      <c r="O15" s="570"/>
      <c r="P15" s="557"/>
      <c r="Q15" s="557"/>
      <c r="R15" s="558"/>
      <c r="S15" s="559"/>
    </row>
    <row r="16" spans="1:21" ht="15" hidden="1" customHeight="1">
      <c r="A16" s="513"/>
      <c r="B16" s="522"/>
      <c r="C16" s="531"/>
      <c r="D16" s="522"/>
      <c r="E16" s="3273"/>
      <c r="F16" s="560"/>
      <c r="G16" s="561"/>
      <c r="H16" s="562"/>
      <c r="I16" s="562"/>
      <c r="J16" s="562"/>
      <c r="K16" s="562"/>
      <c r="L16" s="562"/>
      <c r="M16" s="562"/>
      <c r="N16" s="563"/>
      <c r="O16" s="564"/>
      <c r="P16" s="557"/>
      <c r="Q16" s="557"/>
      <c r="R16" s="558"/>
      <c r="S16" s="559"/>
    </row>
    <row r="17" spans="1:21" ht="15" hidden="1" customHeight="1">
      <c r="A17" s="513"/>
      <c r="B17" s="522"/>
      <c r="C17" s="531"/>
      <c r="D17" s="522"/>
      <c r="E17" s="3273"/>
      <c r="F17" s="571"/>
      <c r="G17" s="572"/>
      <c r="H17" s="573"/>
      <c r="I17" s="568"/>
      <c r="J17" s="568"/>
      <c r="K17" s="568"/>
      <c r="L17" s="568"/>
      <c r="M17" s="562"/>
      <c r="N17" s="569"/>
      <c r="O17" s="574"/>
      <c r="P17" s="557"/>
      <c r="Q17" s="557"/>
      <c r="R17" s="558"/>
      <c r="S17" s="559"/>
    </row>
    <row r="18" spans="1:21" ht="15" hidden="1" customHeight="1">
      <c r="A18" s="513"/>
      <c r="B18" s="522"/>
      <c r="C18" s="531"/>
      <c r="D18" s="522"/>
      <c r="E18" s="3273"/>
      <c r="F18" s="571"/>
      <c r="G18" s="572"/>
      <c r="H18" s="573"/>
      <c r="I18" s="568"/>
      <c r="J18" s="568"/>
      <c r="K18" s="568"/>
      <c r="L18" s="568"/>
      <c r="M18" s="562"/>
      <c r="N18" s="569"/>
      <c r="O18" s="574"/>
      <c r="P18" s="557"/>
      <c r="Q18" s="557"/>
      <c r="R18" s="558"/>
      <c r="S18" s="559"/>
    </row>
    <row r="19" spans="1:21" s="1" customFormat="1" ht="15" customHeight="1">
      <c r="A19" s="513"/>
      <c r="B19" s="522"/>
      <c r="C19" s="531"/>
      <c r="D19" s="532" t="s">
        <v>25</v>
      </c>
      <c r="E19" s="3275"/>
      <c r="F19" s="533"/>
      <c r="G19" s="534"/>
      <c r="H19" s="533"/>
      <c r="I19" s="533"/>
      <c r="J19" s="533"/>
      <c r="K19" s="533"/>
      <c r="L19" s="533"/>
      <c r="M19" s="533"/>
      <c r="N19" s="535"/>
      <c r="O19" s="533"/>
      <c r="P19" s="536">
        <f>P20</f>
        <v>3222569000</v>
      </c>
      <c r="Q19" s="536">
        <f>Q20</f>
        <v>1600000000</v>
      </c>
      <c r="R19" s="537">
        <f>+P19-Q19</f>
        <v>1622569000</v>
      </c>
      <c r="S19" s="538">
        <f>+R19/Q19</f>
        <v>1.014105625</v>
      </c>
    </row>
    <row r="20" spans="1:21" ht="15" customHeight="1">
      <c r="A20" s="513"/>
      <c r="B20" s="522"/>
      <c r="C20" s="531"/>
      <c r="D20" s="539"/>
      <c r="E20" s="3637" t="s">
        <v>16</v>
      </c>
      <c r="F20" s="3638"/>
      <c r="G20" s="3638"/>
      <c r="H20" s="3638"/>
      <c r="I20" s="3638"/>
      <c r="J20" s="3638"/>
      <c r="K20" s="3638"/>
      <c r="L20" s="3638"/>
      <c r="M20" s="3638"/>
      <c r="N20" s="3638"/>
      <c r="O20" s="3639"/>
      <c r="P20" s="540">
        <f>ROUNDUP(O21,-3)</f>
        <v>3222569000</v>
      </c>
      <c r="Q20" s="540">
        <f>Q21</f>
        <v>1600000000</v>
      </c>
      <c r="R20" s="541">
        <f>+P20-Q20</f>
        <v>1622569000</v>
      </c>
      <c r="S20" s="542">
        <f>+R20/Q20</f>
        <v>1.014105625</v>
      </c>
    </row>
    <row r="21" spans="1:21" ht="15" customHeight="1">
      <c r="A21" s="513"/>
      <c r="B21" s="522"/>
      <c r="C21" s="531"/>
      <c r="D21" s="522"/>
      <c r="E21" s="3277"/>
      <c r="F21" s="576" t="s">
        <v>759</v>
      </c>
      <c r="G21" s="577"/>
      <c r="H21" s="576"/>
      <c r="I21" s="576"/>
      <c r="J21" s="576"/>
      <c r="K21" s="576"/>
      <c r="L21" s="576"/>
      <c r="M21" s="576"/>
      <c r="N21" s="578"/>
      <c r="O21" s="579">
        <f>SUM(O22:O22)</f>
        <v>3222569000</v>
      </c>
      <c r="P21" s="548">
        <f>O21</f>
        <v>3222569000</v>
      </c>
      <c r="Q21" s="548">
        <v>1600000000</v>
      </c>
      <c r="R21" s="549">
        <f>+P21-Q21</f>
        <v>1622569000</v>
      </c>
      <c r="S21" s="550">
        <f>+R21/Q21</f>
        <v>1.014105625</v>
      </c>
    </row>
    <row r="22" spans="1:21" ht="15" customHeight="1">
      <c r="A22" s="513"/>
      <c r="B22" s="522"/>
      <c r="C22" s="531"/>
      <c r="D22" s="551"/>
      <c r="E22" s="3278"/>
      <c r="F22" s="581" t="s">
        <v>760</v>
      </c>
      <c r="G22" s="582">
        <v>3222569000</v>
      </c>
      <c r="H22" s="583" t="s">
        <v>21</v>
      </c>
      <c r="I22" s="584">
        <v>1</v>
      </c>
      <c r="J22" s="584"/>
      <c r="K22" s="584"/>
      <c r="L22" s="584"/>
      <c r="M22" s="583"/>
      <c r="N22" s="585" t="s">
        <v>22</v>
      </c>
      <c r="O22" s="586">
        <f>G22</f>
        <v>3222569000</v>
      </c>
      <c r="P22" s="557"/>
      <c r="Q22" s="557"/>
      <c r="R22" s="558"/>
      <c r="S22" s="559"/>
      <c r="U22" s="10"/>
    </row>
    <row r="23" spans="1:21" s="1" customFormat="1" ht="15" customHeight="1">
      <c r="A23" s="513"/>
      <c r="B23" s="524" t="s">
        <v>27</v>
      </c>
      <c r="C23" s="523"/>
      <c r="D23" s="523"/>
      <c r="E23" s="3274"/>
      <c r="F23" s="525"/>
      <c r="G23" s="526"/>
      <c r="H23" s="525"/>
      <c r="I23" s="525"/>
      <c r="J23" s="525"/>
      <c r="K23" s="525"/>
      <c r="L23" s="525"/>
      <c r="M23" s="525"/>
      <c r="N23" s="527"/>
      <c r="O23" s="525"/>
      <c r="P23" s="528">
        <f>P24</f>
        <v>400000000</v>
      </c>
      <c r="Q23" s="528">
        <f>SUM(Q24)</f>
        <v>609221000</v>
      </c>
      <c r="R23" s="529">
        <f>+P23-Q23</f>
        <v>-209221000</v>
      </c>
      <c r="S23" s="530">
        <f>+R23/Q23</f>
        <v>-0.3434238150030941</v>
      </c>
    </row>
    <row r="24" spans="1:21" ht="15" customHeight="1">
      <c r="A24" s="513"/>
      <c r="B24" s="522"/>
      <c r="C24" s="3634" t="s">
        <v>28</v>
      </c>
      <c r="D24" s="3635"/>
      <c r="E24" s="3635"/>
      <c r="F24" s="3635"/>
      <c r="G24" s="3635"/>
      <c r="H24" s="3635"/>
      <c r="I24" s="3635"/>
      <c r="J24" s="3635"/>
      <c r="K24" s="3635"/>
      <c r="L24" s="3635"/>
      <c r="M24" s="3635"/>
      <c r="N24" s="3635"/>
      <c r="O24" s="3636"/>
      <c r="P24" s="528">
        <f>P25</f>
        <v>400000000</v>
      </c>
      <c r="Q24" s="528">
        <f>Q25</f>
        <v>609221000</v>
      </c>
      <c r="R24" s="529">
        <f>+P24-Q24</f>
        <v>-209221000</v>
      </c>
      <c r="S24" s="530">
        <f>+R24/Q24</f>
        <v>-0.3434238150030941</v>
      </c>
    </row>
    <row r="25" spans="1:21" ht="15" customHeight="1">
      <c r="A25" s="513"/>
      <c r="B25" s="522"/>
      <c r="C25" s="531"/>
      <c r="D25" s="532" t="s">
        <v>29</v>
      </c>
      <c r="E25" s="3275"/>
      <c r="F25" s="533"/>
      <c r="G25" s="534"/>
      <c r="H25" s="533"/>
      <c r="I25" s="533"/>
      <c r="J25" s="533"/>
      <c r="K25" s="533"/>
      <c r="L25" s="533"/>
      <c r="M25" s="533"/>
      <c r="N25" s="535"/>
      <c r="O25" s="533"/>
      <c r="P25" s="536">
        <f>SUM(P26)</f>
        <v>400000000</v>
      </c>
      <c r="Q25" s="536">
        <f>Q26</f>
        <v>609221000</v>
      </c>
      <c r="R25" s="537">
        <f>+P25-Q25</f>
        <v>-209221000</v>
      </c>
      <c r="S25" s="538">
        <f>+R25/Q25</f>
        <v>-0.3434238150030941</v>
      </c>
    </row>
    <row r="26" spans="1:21" ht="15" customHeight="1">
      <c r="A26" s="513"/>
      <c r="B26" s="522"/>
      <c r="C26" s="531"/>
      <c r="D26" s="539"/>
      <c r="E26" s="3637" t="s">
        <v>30</v>
      </c>
      <c r="F26" s="3638"/>
      <c r="G26" s="3638"/>
      <c r="H26" s="3638"/>
      <c r="I26" s="3638"/>
      <c r="J26" s="3638"/>
      <c r="K26" s="3638"/>
      <c r="L26" s="3638"/>
      <c r="M26" s="3638"/>
      <c r="N26" s="3638"/>
      <c r="O26" s="3639"/>
      <c r="P26" s="540">
        <f>P27</f>
        <v>400000000</v>
      </c>
      <c r="Q26" s="540">
        <f>Q27</f>
        <v>609221000</v>
      </c>
      <c r="R26" s="541">
        <f>+P26-Q26</f>
        <v>-209221000</v>
      </c>
      <c r="S26" s="542">
        <f>+R26/Q26</f>
        <v>-0.3434238150030941</v>
      </c>
    </row>
    <row r="27" spans="1:21" ht="15" customHeight="1">
      <c r="A27" s="513"/>
      <c r="B27" s="522"/>
      <c r="C27" s="531"/>
      <c r="D27" s="522"/>
      <c r="E27" s="3273"/>
      <c r="F27" s="544" t="s">
        <v>31</v>
      </c>
      <c r="G27" s="545"/>
      <c r="H27" s="544"/>
      <c r="I27" s="544"/>
      <c r="J27" s="544"/>
      <c r="K27" s="544"/>
      <c r="L27" s="544"/>
      <c r="M27" s="544"/>
      <c r="N27" s="546"/>
      <c r="O27" s="547">
        <f>SUM(O28:O28)</f>
        <v>400000000</v>
      </c>
      <c r="P27" s="548">
        <f>O27</f>
        <v>400000000</v>
      </c>
      <c r="Q27" s="548">
        <v>609221000</v>
      </c>
      <c r="R27" s="549">
        <f>+P27-Q27</f>
        <v>-209221000</v>
      </c>
      <c r="S27" s="550">
        <f>+R27/Q27</f>
        <v>-0.3434238150030941</v>
      </c>
    </row>
    <row r="28" spans="1:21" ht="15" customHeight="1" thickBot="1">
      <c r="A28" s="587"/>
      <c r="B28" s="588"/>
      <c r="C28" s="589"/>
      <c r="D28" s="588"/>
      <c r="E28" s="3279"/>
      <c r="F28" s="590" t="s">
        <v>807</v>
      </c>
      <c r="G28" s="591">
        <v>400000000</v>
      </c>
      <c r="H28" s="592" t="s">
        <v>21</v>
      </c>
      <c r="I28" s="593">
        <v>1</v>
      </c>
      <c r="J28" s="593"/>
      <c r="K28" s="593"/>
      <c r="L28" s="593"/>
      <c r="M28" s="592"/>
      <c r="N28" s="594" t="s">
        <v>32</v>
      </c>
      <c r="O28" s="595">
        <f>G28*I28</f>
        <v>400000000</v>
      </c>
      <c r="P28" s="596"/>
      <c r="Q28" s="596"/>
      <c r="R28" s="597"/>
      <c r="S28" s="598"/>
    </row>
    <row r="29" spans="1:21" ht="15" customHeight="1"/>
    <row r="30" spans="1:21" ht="12" customHeight="1"/>
    <row r="31" spans="1:21" ht="12" customHeight="1"/>
    <row r="32" spans="1:21" ht="12" customHeight="1"/>
    <row r="33" spans="14:15" ht="12" customHeight="1">
      <c r="O33" s="11"/>
    </row>
    <row r="34" spans="14:15" ht="12" customHeight="1">
      <c r="O34" s="9"/>
    </row>
    <row r="35" spans="14:15" ht="12" customHeight="1"/>
    <row r="36" spans="14:15" ht="12" customHeight="1">
      <c r="O36" s="10"/>
    </row>
    <row r="37" spans="14:15" ht="12" customHeight="1"/>
    <row r="38" spans="14:15" ht="12" customHeight="1">
      <c r="O38" s="10"/>
    </row>
    <row r="39" spans="14:15" ht="12" customHeight="1"/>
    <row r="40" spans="14:15" ht="12" customHeight="1">
      <c r="O40" s="12"/>
    </row>
    <row r="41" spans="14:15" ht="12" customHeight="1"/>
    <row r="42" spans="14:15" ht="12" customHeight="1"/>
    <row r="43" spans="14:15" ht="12" customHeight="1">
      <c r="O43" s="10"/>
    </row>
    <row r="44" spans="14:15" ht="12" customHeight="1"/>
    <row r="45" spans="14:15" ht="12" customHeight="1">
      <c r="O45" s="10"/>
    </row>
    <row r="46" spans="14:15" ht="12" customHeight="1">
      <c r="N46" s="3458"/>
    </row>
    <row r="47" spans="14:15" ht="12" customHeight="1"/>
    <row r="48" spans="14:15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322" spans="5:5">
      <c r="E322" s="3280" t="s">
        <v>33</v>
      </c>
    </row>
  </sheetData>
  <mergeCells count="14">
    <mergeCell ref="A1:S1"/>
    <mergeCell ref="R2:S2"/>
    <mergeCell ref="A3:E3"/>
    <mergeCell ref="G3:O4"/>
    <mergeCell ref="P3:P4"/>
    <mergeCell ref="Q3:Q4"/>
    <mergeCell ref="R3:R4"/>
    <mergeCell ref="S3:S4"/>
    <mergeCell ref="C7:O7"/>
    <mergeCell ref="E9:O9"/>
    <mergeCell ref="E13:O13"/>
    <mergeCell ref="E20:O20"/>
    <mergeCell ref="E26:O26"/>
    <mergeCell ref="C24:O2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7" fitToHeight="0" orientation="landscape" r:id="rId1"/>
  <headerFooter scaleWithDoc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99FF"/>
    <pageSetUpPr fitToPage="1"/>
  </sheetPr>
  <dimension ref="A1:V168"/>
  <sheetViews>
    <sheetView view="pageBreakPreview" zoomScale="85" zoomScaleNormal="85" zoomScaleSheetLayoutView="85" workbookViewId="0">
      <pane xSplit="3" ySplit="7" topLeftCell="D8" activePane="bottomRight" state="frozen"/>
      <selection activeCell="O40" sqref="O39:O40"/>
      <selection pane="topRight" activeCell="O40" sqref="O39:O40"/>
      <selection pane="bottomLeft" activeCell="O40" sqref="O39:O40"/>
      <selection pane="bottomRight" activeCell="C7" sqref="C7:O7"/>
    </sheetView>
  </sheetViews>
  <sheetFormatPr defaultColWidth="9" defaultRowHeight="13.5"/>
  <cols>
    <col min="1" max="1" width="3.625" style="16" customWidth="1"/>
    <col min="2" max="4" width="3.625" style="15" customWidth="1"/>
    <col min="5" max="5" width="10.625" style="3450" customWidth="1"/>
    <col min="6" max="6" width="27.125" style="16" customWidth="1"/>
    <col min="7" max="7" width="13.25" style="17" bestFit="1" customWidth="1"/>
    <col min="8" max="8" width="2.125" style="16" customWidth="1"/>
    <col min="9" max="9" width="7" style="16" bestFit="1" customWidth="1"/>
    <col min="10" max="10" width="2.125" style="16" customWidth="1"/>
    <col min="11" max="11" width="5.875" style="16" bestFit="1" customWidth="1"/>
    <col min="12" max="12" width="2.75" style="16" customWidth="1"/>
    <col min="13" max="13" width="6.125" style="16" bestFit="1" customWidth="1"/>
    <col min="14" max="14" width="2.625" style="18" customWidth="1"/>
    <col min="15" max="15" width="15.875" style="17" customWidth="1"/>
    <col min="16" max="16" width="10.625" style="19" customWidth="1"/>
    <col min="17" max="17" width="10.625" style="20" customWidth="1"/>
    <col min="18" max="18" width="10.625" style="184" customWidth="1"/>
    <col min="19" max="19" width="10.625" style="220" customWidth="1"/>
    <col min="20" max="21" width="9" style="16"/>
    <col min="22" max="22" width="10.25" style="16" bestFit="1" customWidth="1"/>
    <col min="23" max="16384" width="9" style="16"/>
  </cols>
  <sheetData>
    <row r="1" spans="1:22" s="14" customFormat="1" ht="35.1" customHeight="1">
      <c r="A1" s="3660" t="s">
        <v>2084</v>
      </c>
      <c r="B1" s="3660"/>
      <c r="C1" s="3660"/>
      <c r="D1" s="3660"/>
      <c r="E1" s="3660"/>
      <c r="F1" s="3660"/>
      <c r="G1" s="3660"/>
      <c r="H1" s="3660"/>
      <c r="I1" s="3660"/>
      <c r="J1" s="3660"/>
      <c r="K1" s="3660"/>
      <c r="L1" s="3660"/>
      <c r="M1" s="3660"/>
      <c r="N1" s="3660"/>
      <c r="O1" s="3660"/>
      <c r="P1" s="3660"/>
      <c r="Q1" s="3660"/>
      <c r="R1" s="3660"/>
      <c r="S1" s="3660"/>
    </row>
    <row r="2" spans="1:22" ht="15" customHeight="1" thickBot="1">
      <c r="A2" s="599" t="s">
        <v>138</v>
      </c>
      <c r="B2" s="600"/>
      <c r="C2" s="600"/>
      <c r="D2" s="600"/>
      <c r="E2" s="599"/>
      <c r="F2" s="599"/>
      <c r="G2" s="601"/>
      <c r="H2" s="599"/>
      <c r="I2" s="599"/>
      <c r="J2" s="599"/>
      <c r="K2" s="599"/>
      <c r="L2" s="599"/>
      <c r="M2" s="599"/>
      <c r="N2" s="602"/>
      <c r="O2" s="601"/>
      <c r="P2" s="603"/>
      <c r="Q2" s="604"/>
      <c r="R2" s="3661" t="s">
        <v>139</v>
      </c>
      <c r="S2" s="3661"/>
    </row>
    <row r="3" spans="1:22" s="21" customFormat="1" ht="15" customHeight="1">
      <c r="A3" s="3662" t="s">
        <v>140</v>
      </c>
      <c r="B3" s="3663"/>
      <c r="C3" s="3663"/>
      <c r="D3" s="3663"/>
      <c r="E3" s="3663"/>
      <c r="F3" s="605"/>
      <c r="G3" s="3664" t="s">
        <v>141</v>
      </c>
      <c r="H3" s="3664"/>
      <c r="I3" s="3664"/>
      <c r="J3" s="3664"/>
      <c r="K3" s="3664"/>
      <c r="L3" s="3664"/>
      <c r="M3" s="3664"/>
      <c r="N3" s="3664"/>
      <c r="O3" s="3665"/>
      <c r="P3" s="3668" t="s">
        <v>4</v>
      </c>
      <c r="Q3" s="3670" t="s">
        <v>326</v>
      </c>
      <c r="R3" s="3672" t="s">
        <v>5</v>
      </c>
      <c r="S3" s="3674" t="s">
        <v>6</v>
      </c>
    </row>
    <row r="4" spans="1:22" s="21" customFormat="1" ht="15" customHeight="1" thickBot="1">
      <c r="A4" s="606" t="s">
        <v>142</v>
      </c>
      <c r="B4" s="607" t="s">
        <v>143</v>
      </c>
      <c r="C4" s="607" t="s">
        <v>144</v>
      </c>
      <c r="D4" s="607" t="s">
        <v>145</v>
      </c>
      <c r="E4" s="607" t="s">
        <v>146</v>
      </c>
      <c r="F4" s="608" t="s">
        <v>147</v>
      </c>
      <c r="G4" s="3666"/>
      <c r="H4" s="3666"/>
      <c r="I4" s="3666"/>
      <c r="J4" s="3666"/>
      <c r="K4" s="3666"/>
      <c r="L4" s="3666"/>
      <c r="M4" s="3666"/>
      <c r="N4" s="3666"/>
      <c r="O4" s="3667"/>
      <c r="P4" s="3669"/>
      <c r="Q4" s="3671"/>
      <c r="R4" s="3673"/>
      <c r="S4" s="3675"/>
    </row>
    <row r="5" spans="1:22" s="22" customFormat="1" ht="15" customHeight="1" thickBot="1">
      <c r="A5" s="609" t="s">
        <v>148</v>
      </c>
      <c r="B5" s="610"/>
      <c r="C5" s="611"/>
      <c r="D5" s="611"/>
      <c r="E5" s="611"/>
      <c r="F5" s="611"/>
      <c r="G5" s="612"/>
      <c r="H5" s="611"/>
      <c r="I5" s="611"/>
      <c r="J5" s="611"/>
      <c r="K5" s="611"/>
      <c r="L5" s="611"/>
      <c r="M5" s="611"/>
      <c r="N5" s="613"/>
      <c r="O5" s="612"/>
      <c r="P5" s="614">
        <f>P6+P90</f>
        <v>1143863000</v>
      </c>
      <c r="Q5" s="614">
        <f>Q6+Q90</f>
        <v>1644864000</v>
      </c>
      <c r="R5" s="615">
        <f t="shared" ref="R5:R10" si="0">+P5-Q5</f>
        <v>-501001000</v>
      </c>
      <c r="S5" s="616">
        <f t="shared" ref="S5:S10" si="1">+R5/Q5</f>
        <v>-0.30458505991984747</v>
      </c>
    </row>
    <row r="6" spans="1:22" s="14" customFormat="1" ht="15" customHeight="1">
      <c r="A6" s="617"/>
      <c r="B6" s="618" t="s">
        <v>149</v>
      </c>
      <c r="C6" s="619"/>
      <c r="D6" s="619"/>
      <c r="E6" s="620"/>
      <c r="F6" s="620"/>
      <c r="G6" s="621"/>
      <c r="H6" s="620"/>
      <c r="I6" s="620"/>
      <c r="J6" s="620"/>
      <c r="K6" s="620"/>
      <c r="L6" s="620"/>
      <c r="M6" s="620"/>
      <c r="N6" s="622"/>
      <c r="O6" s="621"/>
      <c r="P6" s="623">
        <f>SUM(P7,P70)</f>
        <v>1093863000</v>
      </c>
      <c r="Q6" s="623">
        <f>SUM(Q7,Q70)</f>
        <v>1542140000</v>
      </c>
      <c r="R6" s="624">
        <f t="shared" si="0"/>
        <v>-448277000</v>
      </c>
      <c r="S6" s="625">
        <f t="shared" si="1"/>
        <v>-0.29068502211212988</v>
      </c>
      <c r="V6" s="14">
        <v>1137867000</v>
      </c>
    </row>
    <row r="7" spans="1:22" s="14" customFormat="1" ht="15" customHeight="1">
      <c r="A7" s="617"/>
      <c r="B7" s="626"/>
      <c r="C7" s="3657" t="s">
        <v>150</v>
      </c>
      <c r="D7" s="3658"/>
      <c r="E7" s="3658"/>
      <c r="F7" s="3658"/>
      <c r="G7" s="3658"/>
      <c r="H7" s="3658"/>
      <c r="I7" s="3658"/>
      <c r="J7" s="3658"/>
      <c r="K7" s="3658"/>
      <c r="L7" s="3658"/>
      <c r="M7" s="3658"/>
      <c r="N7" s="3658"/>
      <c r="O7" s="3659"/>
      <c r="P7" s="631">
        <f>SUM(P8,P57,P66)</f>
        <v>774750000</v>
      </c>
      <c r="Q7" s="631">
        <f>SUM(Q8,Q57,Q66)</f>
        <v>651940000</v>
      </c>
      <c r="R7" s="624">
        <f t="shared" si="0"/>
        <v>122810000</v>
      </c>
      <c r="S7" s="625">
        <f t="shared" si="1"/>
        <v>0.18837623094149769</v>
      </c>
    </row>
    <row r="8" spans="1:22" s="14" customFormat="1" ht="15" customHeight="1">
      <c r="A8" s="617"/>
      <c r="B8" s="632"/>
      <c r="C8" s="633"/>
      <c r="D8" s="634" t="s">
        <v>151</v>
      </c>
      <c r="E8" s="2229"/>
      <c r="F8" s="635"/>
      <c r="G8" s="636"/>
      <c r="H8" s="635"/>
      <c r="I8" s="635"/>
      <c r="J8" s="635"/>
      <c r="K8" s="635"/>
      <c r="L8" s="635"/>
      <c r="M8" s="635"/>
      <c r="N8" s="637"/>
      <c r="O8" s="636"/>
      <c r="P8" s="638">
        <f>P9+P51</f>
        <v>715450000</v>
      </c>
      <c r="Q8" s="638">
        <f>Q9+Q51</f>
        <v>597440000</v>
      </c>
      <c r="R8" s="639">
        <f t="shared" si="0"/>
        <v>118010000</v>
      </c>
      <c r="S8" s="640">
        <f t="shared" si="1"/>
        <v>0.19752611140867701</v>
      </c>
      <c r="V8" s="14">
        <v>1143363000</v>
      </c>
    </row>
    <row r="9" spans="1:22" ht="15" customHeight="1">
      <c r="A9" s="617"/>
      <c r="B9" s="632"/>
      <c r="C9" s="641"/>
      <c r="D9" s="626"/>
      <c r="E9" s="3637" t="s">
        <v>152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645">
        <f>O10+O17+O26+O35+O48</f>
        <v>577800000</v>
      </c>
      <c r="Q9" s="645">
        <f>Q10+Q17+Q26+Q35+Q48</f>
        <v>455040000</v>
      </c>
      <c r="R9" s="646">
        <f t="shared" si="0"/>
        <v>122760000</v>
      </c>
      <c r="S9" s="647">
        <f t="shared" si="1"/>
        <v>0.26977848101265822</v>
      </c>
    </row>
    <row r="10" spans="1:22" ht="15" customHeight="1">
      <c r="A10" s="617"/>
      <c r="B10" s="632"/>
      <c r="C10" s="641"/>
      <c r="D10" s="632"/>
      <c r="E10" s="3442"/>
      <c r="F10" s="649" t="s">
        <v>808</v>
      </c>
      <c r="G10" s="650"/>
      <c r="H10" s="649"/>
      <c r="I10" s="649"/>
      <c r="J10" s="649"/>
      <c r="K10" s="649"/>
      <c r="L10" s="649"/>
      <c r="M10" s="649"/>
      <c r="N10" s="651"/>
      <c r="O10" s="652">
        <f>SUM(O11:O16)</f>
        <v>33600000</v>
      </c>
      <c r="P10" s="548">
        <f>O10</f>
        <v>33600000</v>
      </c>
      <c r="Q10" s="653">
        <v>35880000</v>
      </c>
      <c r="R10" s="654">
        <f t="shared" si="0"/>
        <v>-2280000</v>
      </c>
      <c r="S10" s="655">
        <f t="shared" si="1"/>
        <v>-6.354515050167224E-2</v>
      </c>
    </row>
    <row r="11" spans="1:22" ht="15" customHeight="1">
      <c r="A11" s="617"/>
      <c r="B11" s="632"/>
      <c r="C11" s="641"/>
      <c r="D11" s="632"/>
      <c r="E11" s="3443"/>
      <c r="F11" s="657" t="s">
        <v>809</v>
      </c>
      <c r="G11" s="658">
        <v>40000</v>
      </c>
      <c r="H11" s="659" t="s">
        <v>810</v>
      </c>
      <c r="I11" s="660">
        <v>10</v>
      </c>
      <c r="J11" s="659" t="s">
        <v>51</v>
      </c>
      <c r="K11" s="661">
        <v>1</v>
      </c>
      <c r="L11" s="662" t="s">
        <v>51</v>
      </c>
      <c r="M11" s="663">
        <v>12</v>
      </c>
      <c r="N11" s="664" t="s">
        <v>811</v>
      </c>
      <c r="O11" s="665">
        <f t="shared" ref="O11:O16" si="2">G11*I11*K11*M11</f>
        <v>4800000</v>
      </c>
      <c r="P11" s="666" t="s">
        <v>812</v>
      </c>
      <c r="Q11" s="666"/>
      <c r="R11" s="667"/>
      <c r="S11" s="668"/>
      <c r="V11" s="16">
        <f>V6-V8</f>
        <v>-5496000</v>
      </c>
    </row>
    <row r="12" spans="1:22" ht="15" customHeight="1">
      <c r="A12" s="617"/>
      <c r="B12" s="632"/>
      <c r="C12" s="641"/>
      <c r="D12" s="632"/>
      <c r="E12" s="3443"/>
      <c r="F12" s="657" t="s">
        <v>813</v>
      </c>
      <c r="G12" s="658">
        <v>30000</v>
      </c>
      <c r="H12" s="659" t="s">
        <v>814</v>
      </c>
      <c r="I12" s="660">
        <v>10</v>
      </c>
      <c r="J12" s="659" t="s">
        <v>810</v>
      </c>
      <c r="K12" s="661">
        <v>1</v>
      </c>
      <c r="L12" s="662" t="s">
        <v>814</v>
      </c>
      <c r="M12" s="663">
        <v>12</v>
      </c>
      <c r="N12" s="664" t="s">
        <v>815</v>
      </c>
      <c r="O12" s="665">
        <f t="shared" si="2"/>
        <v>3600000</v>
      </c>
      <c r="P12" s="666"/>
      <c r="Q12" s="666"/>
      <c r="R12" s="667"/>
      <c r="S12" s="668"/>
    </row>
    <row r="13" spans="1:22" ht="15" customHeight="1">
      <c r="A13" s="617"/>
      <c r="B13" s="632"/>
      <c r="C13" s="641"/>
      <c r="D13" s="632"/>
      <c r="E13" s="3443"/>
      <c r="F13" s="657" t="s">
        <v>816</v>
      </c>
      <c r="G13" s="658">
        <v>40000</v>
      </c>
      <c r="H13" s="659" t="s">
        <v>817</v>
      </c>
      <c r="I13" s="660">
        <v>10</v>
      </c>
      <c r="J13" s="659" t="s">
        <v>817</v>
      </c>
      <c r="K13" s="661">
        <v>1</v>
      </c>
      <c r="L13" s="662" t="s">
        <v>810</v>
      </c>
      <c r="M13" s="663">
        <v>12</v>
      </c>
      <c r="N13" s="664" t="s">
        <v>815</v>
      </c>
      <c r="O13" s="665">
        <f t="shared" si="2"/>
        <v>4800000</v>
      </c>
      <c r="P13" s="666"/>
      <c r="Q13" s="666"/>
      <c r="R13" s="667"/>
      <c r="S13" s="668"/>
    </row>
    <row r="14" spans="1:22" ht="15" customHeight="1">
      <c r="A14" s="617"/>
      <c r="B14" s="632"/>
      <c r="C14" s="641"/>
      <c r="D14" s="632"/>
      <c r="E14" s="3443"/>
      <c r="F14" s="657" t="s">
        <v>818</v>
      </c>
      <c r="G14" s="658">
        <v>40000</v>
      </c>
      <c r="H14" s="659" t="s">
        <v>817</v>
      </c>
      <c r="I14" s="660">
        <v>10</v>
      </c>
      <c r="J14" s="659" t="s">
        <v>817</v>
      </c>
      <c r="K14" s="661">
        <v>1</v>
      </c>
      <c r="L14" s="662" t="s">
        <v>817</v>
      </c>
      <c r="M14" s="663">
        <v>12</v>
      </c>
      <c r="N14" s="664" t="s">
        <v>811</v>
      </c>
      <c r="O14" s="665">
        <f t="shared" si="2"/>
        <v>4800000</v>
      </c>
      <c r="P14" s="666"/>
      <c r="Q14" s="666"/>
      <c r="R14" s="667"/>
      <c r="S14" s="668"/>
      <c r="V14" s="33">
        <f>P5-V8</f>
        <v>500000</v>
      </c>
    </row>
    <row r="15" spans="1:22" ht="15" customHeight="1">
      <c r="A15" s="617"/>
      <c r="B15" s="632"/>
      <c r="C15" s="632"/>
      <c r="D15" s="632"/>
      <c r="E15" s="3443"/>
      <c r="F15" s="657" t="s">
        <v>819</v>
      </c>
      <c r="G15" s="658">
        <v>40000</v>
      </c>
      <c r="H15" s="659" t="s">
        <v>817</v>
      </c>
      <c r="I15" s="660">
        <v>10</v>
      </c>
      <c r="J15" s="659" t="s">
        <v>817</v>
      </c>
      <c r="K15" s="661">
        <v>2</v>
      </c>
      <c r="L15" s="662" t="s">
        <v>817</v>
      </c>
      <c r="M15" s="663">
        <v>12</v>
      </c>
      <c r="N15" s="664" t="s">
        <v>820</v>
      </c>
      <c r="O15" s="665">
        <f t="shared" si="2"/>
        <v>9600000</v>
      </c>
      <c r="P15" s="666"/>
      <c r="Q15" s="666"/>
      <c r="R15" s="667"/>
      <c r="S15" s="668"/>
    </row>
    <row r="16" spans="1:22" ht="15" customHeight="1">
      <c r="A16" s="617"/>
      <c r="B16" s="632"/>
      <c r="C16" s="632"/>
      <c r="D16" s="632"/>
      <c r="E16" s="3443"/>
      <c r="F16" s="657" t="s">
        <v>821</v>
      </c>
      <c r="G16" s="658">
        <v>50000</v>
      </c>
      <c r="H16" s="659" t="s">
        <v>810</v>
      </c>
      <c r="I16" s="660">
        <v>10</v>
      </c>
      <c r="J16" s="659" t="s">
        <v>814</v>
      </c>
      <c r="K16" s="661">
        <v>1</v>
      </c>
      <c r="L16" s="662" t="s">
        <v>817</v>
      </c>
      <c r="M16" s="663">
        <v>12</v>
      </c>
      <c r="N16" s="664" t="s">
        <v>811</v>
      </c>
      <c r="O16" s="665">
        <f t="shared" si="2"/>
        <v>6000000</v>
      </c>
      <c r="P16" s="666"/>
      <c r="Q16" s="666"/>
      <c r="R16" s="667"/>
      <c r="S16" s="668"/>
    </row>
    <row r="17" spans="1:19" ht="15" customHeight="1">
      <c r="A17" s="617"/>
      <c r="B17" s="632"/>
      <c r="C17" s="632"/>
      <c r="D17" s="632"/>
      <c r="E17" s="3443"/>
      <c r="F17" s="649" t="s">
        <v>822</v>
      </c>
      <c r="G17" s="650"/>
      <c r="H17" s="649"/>
      <c r="I17" s="649"/>
      <c r="J17" s="649"/>
      <c r="K17" s="649"/>
      <c r="L17" s="649"/>
      <c r="M17" s="649"/>
      <c r="N17" s="651"/>
      <c r="O17" s="652">
        <f>SUM(O18:O25)</f>
        <v>224700000</v>
      </c>
      <c r="P17" s="548">
        <f>O17</f>
        <v>224700000</v>
      </c>
      <c r="Q17" s="653">
        <v>167100000</v>
      </c>
      <c r="R17" s="654">
        <f>+P17-Q17</f>
        <v>57600000</v>
      </c>
      <c r="S17" s="655">
        <f>+R17/Q17</f>
        <v>0.34470377019748655</v>
      </c>
    </row>
    <row r="18" spans="1:19" ht="15" customHeight="1">
      <c r="A18" s="617"/>
      <c r="B18" s="632"/>
      <c r="C18" s="632"/>
      <c r="D18" s="632"/>
      <c r="E18" s="3443"/>
      <c r="F18" s="657" t="s">
        <v>823</v>
      </c>
      <c r="G18" s="658">
        <v>40000</v>
      </c>
      <c r="H18" s="662" t="s">
        <v>817</v>
      </c>
      <c r="I18" s="660">
        <v>20</v>
      </c>
      <c r="J18" s="662" t="s">
        <v>817</v>
      </c>
      <c r="K18" s="661">
        <v>4</v>
      </c>
      <c r="L18" s="662" t="s">
        <v>817</v>
      </c>
      <c r="M18" s="663">
        <v>12</v>
      </c>
      <c r="N18" s="669" t="s">
        <v>815</v>
      </c>
      <c r="O18" s="665">
        <f t="shared" ref="O18:O25" si="3">G18*I18*K18*M18</f>
        <v>38400000</v>
      </c>
      <c r="P18" s="666"/>
      <c r="Q18" s="666"/>
      <c r="R18" s="667"/>
      <c r="S18" s="668"/>
    </row>
    <row r="19" spans="1:19" ht="15" customHeight="1">
      <c r="A19" s="617"/>
      <c r="B19" s="632"/>
      <c r="C19" s="632"/>
      <c r="D19" s="632"/>
      <c r="E19" s="3443"/>
      <c r="F19" s="670" t="s">
        <v>824</v>
      </c>
      <c r="G19" s="658">
        <v>40000</v>
      </c>
      <c r="H19" s="662" t="s">
        <v>814</v>
      </c>
      <c r="I19" s="660">
        <v>20</v>
      </c>
      <c r="J19" s="662" t="s">
        <v>817</v>
      </c>
      <c r="K19" s="661">
        <v>4</v>
      </c>
      <c r="L19" s="662" t="s">
        <v>817</v>
      </c>
      <c r="M19" s="663">
        <v>12</v>
      </c>
      <c r="N19" s="669" t="s">
        <v>815</v>
      </c>
      <c r="O19" s="665">
        <f t="shared" si="3"/>
        <v>38400000</v>
      </c>
      <c r="P19" s="666"/>
      <c r="Q19" s="666"/>
      <c r="R19" s="667"/>
      <c r="S19" s="668"/>
    </row>
    <row r="20" spans="1:19" ht="15" customHeight="1">
      <c r="A20" s="617"/>
      <c r="B20" s="632"/>
      <c r="C20" s="632"/>
      <c r="D20" s="632"/>
      <c r="E20" s="3443"/>
      <c r="F20" s="670" t="s">
        <v>732</v>
      </c>
      <c r="G20" s="671">
        <v>40000</v>
      </c>
      <c r="H20" s="659" t="s">
        <v>21</v>
      </c>
      <c r="I20" s="660">
        <v>20</v>
      </c>
      <c r="J20" s="659" t="s">
        <v>21</v>
      </c>
      <c r="K20" s="661">
        <v>3</v>
      </c>
      <c r="L20" s="659" t="s">
        <v>21</v>
      </c>
      <c r="M20" s="663">
        <v>12</v>
      </c>
      <c r="N20" s="664" t="s">
        <v>22</v>
      </c>
      <c r="O20" s="665">
        <f t="shared" si="3"/>
        <v>28800000</v>
      </c>
      <c r="P20" s="666"/>
      <c r="Q20" s="666"/>
      <c r="R20" s="667"/>
      <c r="S20" s="668"/>
    </row>
    <row r="21" spans="1:19" ht="15" customHeight="1">
      <c r="A21" s="617"/>
      <c r="B21" s="632"/>
      <c r="C21" s="632"/>
      <c r="D21" s="632"/>
      <c r="E21" s="3443"/>
      <c r="F21" s="670" t="s">
        <v>825</v>
      </c>
      <c r="G21" s="671">
        <v>40000</v>
      </c>
      <c r="H21" s="659" t="s">
        <v>21</v>
      </c>
      <c r="I21" s="660">
        <v>20</v>
      </c>
      <c r="J21" s="659" t="s">
        <v>21</v>
      </c>
      <c r="K21" s="661">
        <v>3</v>
      </c>
      <c r="L21" s="659" t="s">
        <v>21</v>
      </c>
      <c r="M21" s="663">
        <v>12</v>
      </c>
      <c r="N21" s="664" t="s">
        <v>22</v>
      </c>
      <c r="O21" s="665">
        <f t="shared" si="3"/>
        <v>28800000</v>
      </c>
      <c r="P21" s="666"/>
      <c r="Q21" s="666"/>
      <c r="R21" s="667"/>
      <c r="S21" s="668"/>
    </row>
    <row r="22" spans="1:19" ht="15" customHeight="1">
      <c r="A22" s="617"/>
      <c r="B22" s="632"/>
      <c r="C22" s="632"/>
      <c r="D22" s="632"/>
      <c r="E22" s="3443"/>
      <c r="F22" s="670" t="s">
        <v>826</v>
      </c>
      <c r="G22" s="671">
        <v>30000</v>
      </c>
      <c r="H22" s="659" t="s">
        <v>21</v>
      </c>
      <c r="I22" s="660">
        <v>15</v>
      </c>
      <c r="J22" s="659" t="s">
        <v>21</v>
      </c>
      <c r="K22" s="661">
        <v>2</v>
      </c>
      <c r="L22" s="659" t="s">
        <v>21</v>
      </c>
      <c r="M22" s="663">
        <v>12</v>
      </c>
      <c r="N22" s="664" t="s">
        <v>22</v>
      </c>
      <c r="O22" s="665">
        <f t="shared" si="3"/>
        <v>10800000</v>
      </c>
      <c r="P22" s="666"/>
      <c r="Q22" s="666"/>
      <c r="R22" s="667"/>
      <c r="S22" s="668"/>
    </row>
    <row r="23" spans="1:19" ht="15" customHeight="1">
      <c r="A23" s="617"/>
      <c r="B23" s="632"/>
      <c r="C23" s="632"/>
      <c r="D23" s="632"/>
      <c r="E23" s="3443"/>
      <c r="F23" s="670" t="s">
        <v>827</v>
      </c>
      <c r="G23" s="671">
        <v>40000</v>
      </c>
      <c r="H23" s="659" t="s">
        <v>21</v>
      </c>
      <c r="I23" s="660">
        <v>20</v>
      </c>
      <c r="J23" s="659" t="s">
        <v>21</v>
      </c>
      <c r="K23" s="661">
        <v>2</v>
      </c>
      <c r="L23" s="659" t="s">
        <v>21</v>
      </c>
      <c r="M23" s="663">
        <v>12</v>
      </c>
      <c r="N23" s="664" t="s">
        <v>22</v>
      </c>
      <c r="O23" s="665">
        <f t="shared" si="3"/>
        <v>19200000</v>
      </c>
      <c r="P23" s="666"/>
      <c r="Q23" s="666"/>
      <c r="R23" s="667"/>
      <c r="S23" s="668"/>
    </row>
    <row r="24" spans="1:19" ht="15" customHeight="1">
      <c r="A24" s="617"/>
      <c r="B24" s="632"/>
      <c r="C24" s="632"/>
      <c r="D24" s="632"/>
      <c r="E24" s="3443"/>
      <c r="F24" s="670" t="s">
        <v>828</v>
      </c>
      <c r="G24" s="671">
        <v>45000</v>
      </c>
      <c r="H24" s="659" t="s">
        <v>21</v>
      </c>
      <c r="I24" s="660">
        <v>15</v>
      </c>
      <c r="J24" s="659" t="s">
        <v>21</v>
      </c>
      <c r="K24" s="661">
        <v>3</v>
      </c>
      <c r="L24" s="659" t="s">
        <v>21</v>
      </c>
      <c r="M24" s="663">
        <v>12</v>
      </c>
      <c r="N24" s="664" t="s">
        <v>22</v>
      </c>
      <c r="O24" s="665">
        <f t="shared" si="3"/>
        <v>24300000</v>
      </c>
      <c r="P24" s="666"/>
      <c r="Q24" s="666"/>
      <c r="R24" s="667"/>
      <c r="S24" s="668"/>
    </row>
    <row r="25" spans="1:19" ht="15" customHeight="1">
      <c r="A25" s="617"/>
      <c r="B25" s="632"/>
      <c r="C25" s="632"/>
      <c r="D25" s="632"/>
      <c r="E25" s="3442"/>
      <c r="F25" s="670" t="s">
        <v>829</v>
      </c>
      <c r="G25" s="671">
        <v>30000</v>
      </c>
      <c r="H25" s="659" t="s">
        <v>21</v>
      </c>
      <c r="I25" s="660">
        <v>100</v>
      </c>
      <c r="J25" s="659" t="s">
        <v>21</v>
      </c>
      <c r="K25" s="661">
        <v>1</v>
      </c>
      <c r="L25" s="659" t="s">
        <v>21</v>
      </c>
      <c r="M25" s="663">
        <v>12</v>
      </c>
      <c r="N25" s="664" t="s">
        <v>22</v>
      </c>
      <c r="O25" s="665">
        <f t="shared" si="3"/>
        <v>36000000</v>
      </c>
      <c r="P25" s="666"/>
      <c r="Q25" s="666"/>
      <c r="R25" s="667"/>
      <c r="S25" s="668"/>
    </row>
    <row r="26" spans="1:19" ht="15" customHeight="1">
      <c r="A26" s="617"/>
      <c r="B26" s="632"/>
      <c r="C26" s="632"/>
      <c r="D26" s="632"/>
      <c r="E26" s="3443"/>
      <c r="F26" s="649" t="s">
        <v>830</v>
      </c>
      <c r="G26" s="650"/>
      <c r="H26" s="649"/>
      <c r="I26" s="649"/>
      <c r="J26" s="649"/>
      <c r="K26" s="649"/>
      <c r="L26" s="649"/>
      <c r="M26" s="649"/>
      <c r="N26" s="651"/>
      <c r="O26" s="652">
        <f>SUM(O27:O34)</f>
        <v>69000000</v>
      </c>
      <c r="P26" s="548">
        <f>O26</f>
        <v>69000000</v>
      </c>
      <c r="Q26" s="653">
        <v>35880000</v>
      </c>
      <c r="R26" s="654">
        <f>+P26-Q26</f>
        <v>33120000</v>
      </c>
      <c r="S26" s="655">
        <f>+R26/Q26</f>
        <v>0.92307692307692313</v>
      </c>
    </row>
    <row r="27" spans="1:19" ht="15" customHeight="1">
      <c r="A27" s="617"/>
      <c r="B27" s="632"/>
      <c r="C27" s="632"/>
      <c r="D27" s="632"/>
      <c r="E27" s="3443"/>
      <c r="F27" s="657" t="s">
        <v>831</v>
      </c>
      <c r="G27" s="658">
        <v>40000</v>
      </c>
      <c r="H27" s="659" t="s">
        <v>817</v>
      </c>
      <c r="I27" s="660">
        <v>10</v>
      </c>
      <c r="J27" s="659" t="s">
        <v>810</v>
      </c>
      <c r="K27" s="661">
        <v>2</v>
      </c>
      <c r="L27" s="662" t="s">
        <v>817</v>
      </c>
      <c r="M27" s="663">
        <v>12</v>
      </c>
      <c r="N27" s="664" t="s">
        <v>820</v>
      </c>
      <c r="O27" s="665">
        <f t="shared" ref="O27:O34" si="4">G27*I27*K27*M27</f>
        <v>9600000</v>
      </c>
      <c r="P27" s="666"/>
      <c r="Q27" s="666"/>
      <c r="R27" s="667"/>
      <c r="S27" s="668"/>
    </row>
    <row r="28" spans="1:19" ht="15" customHeight="1">
      <c r="A28" s="617"/>
      <c r="B28" s="632"/>
      <c r="C28" s="632"/>
      <c r="D28" s="632"/>
      <c r="E28" s="3443"/>
      <c r="F28" s="657" t="s">
        <v>832</v>
      </c>
      <c r="G28" s="658">
        <v>30000</v>
      </c>
      <c r="H28" s="659" t="s">
        <v>817</v>
      </c>
      <c r="I28" s="660">
        <v>10</v>
      </c>
      <c r="J28" s="659" t="s">
        <v>817</v>
      </c>
      <c r="K28" s="661">
        <v>1</v>
      </c>
      <c r="L28" s="662" t="s">
        <v>817</v>
      </c>
      <c r="M28" s="663">
        <v>12</v>
      </c>
      <c r="N28" s="664" t="s">
        <v>820</v>
      </c>
      <c r="O28" s="665">
        <f t="shared" si="4"/>
        <v>3600000</v>
      </c>
      <c r="P28" s="666"/>
      <c r="Q28" s="666"/>
      <c r="R28" s="667"/>
      <c r="S28" s="668"/>
    </row>
    <row r="29" spans="1:19" ht="15" customHeight="1">
      <c r="A29" s="617"/>
      <c r="B29" s="632"/>
      <c r="C29" s="632"/>
      <c r="D29" s="632"/>
      <c r="E29" s="3443"/>
      <c r="F29" s="657" t="s">
        <v>818</v>
      </c>
      <c r="G29" s="658">
        <v>30000</v>
      </c>
      <c r="H29" s="659" t="s">
        <v>817</v>
      </c>
      <c r="I29" s="660">
        <v>10</v>
      </c>
      <c r="J29" s="659" t="s">
        <v>817</v>
      </c>
      <c r="K29" s="661">
        <v>1</v>
      </c>
      <c r="L29" s="662" t="s">
        <v>817</v>
      </c>
      <c r="M29" s="663">
        <v>12</v>
      </c>
      <c r="N29" s="664" t="s">
        <v>820</v>
      </c>
      <c r="O29" s="665">
        <f t="shared" si="4"/>
        <v>3600000</v>
      </c>
      <c r="P29" s="666"/>
      <c r="Q29" s="666"/>
      <c r="R29" s="667"/>
      <c r="S29" s="668"/>
    </row>
    <row r="30" spans="1:19" ht="15" customHeight="1">
      <c r="A30" s="617"/>
      <c r="B30" s="632"/>
      <c r="C30" s="632"/>
      <c r="D30" s="632"/>
      <c r="E30" s="3443"/>
      <c r="F30" s="657" t="s">
        <v>833</v>
      </c>
      <c r="G30" s="658">
        <v>45000</v>
      </c>
      <c r="H30" s="659" t="s">
        <v>817</v>
      </c>
      <c r="I30" s="660">
        <v>10</v>
      </c>
      <c r="J30" s="659" t="s">
        <v>817</v>
      </c>
      <c r="K30" s="661">
        <v>2</v>
      </c>
      <c r="L30" s="662" t="s">
        <v>817</v>
      </c>
      <c r="M30" s="663">
        <v>12</v>
      </c>
      <c r="N30" s="664" t="s">
        <v>820</v>
      </c>
      <c r="O30" s="665">
        <f t="shared" si="4"/>
        <v>10800000</v>
      </c>
      <c r="P30" s="666"/>
      <c r="Q30" s="666"/>
      <c r="R30" s="667"/>
      <c r="S30" s="668"/>
    </row>
    <row r="31" spans="1:19" ht="15" customHeight="1">
      <c r="A31" s="617"/>
      <c r="B31" s="632"/>
      <c r="C31" s="632"/>
      <c r="D31" s="632"/>
      <c r="E31" s="3443"/>
      <c r="F31" s="657" t="s">
        <v>834</v>
      </c>
      <c r="G31" s="658">
        <v>40000</v>
      </c>
      <c r="H31" s="659" t="s">
        <v>817</v>
      </c>
      <c r="I31" s="660">
        <v>10</v>
      </c>
      <c r="J31" s="659" t="s">
        <v>817</v>
      </c>
      <c r="K31" s="661">
        <v>1</v>
      </c>
      <c r="L31" s="662" t="s">
        <v>817</v>
      </c>
      <c r="M31" s="663">
        <v>12</v>
      </c>
      <c r="N31" s="664" t="s">
        <v>820</v>
      </c>
      <c r="O31" s="665">
        <f t="shared" si="4"/>
        <v>4800000</v>
      </c>
      <c r="P31" s="666"/>
      <c r="Q31" s="666"/>
      <c r="R31" s="667"/>
      <c r="S31" s="668"/>
    </row>
    <row r="32" spans="1:19" ht="15" customHeight="1">
      <c r="A32" s="617"/>
      <c r="B32" s="632"/>
      <c r="C32" s="632"/>
      <c r="D32" s="632"/>
      <c r="E32" s="3443"/>
      <c r="F32" s="657" t="s">
        <v>835</v>
      </c>
      <c r="G32" s="658">
        <v>35000</v>
      </c>
      <c r="H32" s="659" t="s">
        <v>817</v>
      </c>
      <c r="I32" s="660">
        <v>15</v>
      </c>
      <c r="J32" s="659" t="s">
        <v>817</v>
      </c>
      <c r="K32" s="661">
        <v>2</v>
      </c>
      <c r="L32" s="662" t="s">
        <v>817</v>
      </c>
      <c r="M32" s="663">
        <v>12</v>
      </c>
      <c r="N32" s="664" t="s">
        <v>820</v>
      </c>
      <c r="O32" s="665">
        <f t="shared" si="4"/>
        <v>12600000</v>
      </c>
      <c r="P32" s="666"/>
      <c r="Q32" s="666"/>
      <c r="R32" s="667"/>
      <c r="S32" s="668"/>
    </row>
    <row r="33" spans="1:19" ht="15" customHeight="1">
      <c r="A33" s="617"/>
      <c r="B33" s="632"/>
      <c r="C33" s="632"/>
      <c r="D33" s="632"/>
      <c r="E33" s="3443"/>
      <c r="F33" s="657" t="s">
        <v>836</v>
      </c>
      <c r="G33" s="658">
        <v>40000</v>
      </c>
      <c r="H33" s="659" t="s">
        <v>817</v>
      </c>
      <c r="I33" s="660">
        <v>10</v>
      </c>
      <c r="J33" s="659" t="s">
        <v>817</v>
      </c>
      <c r="K33" s="661">
        <v>3</v>
      </c>
      <c r="L33" s="662" t="s">
        <v>817</v>
      </c>
      <c r="M33" s="663">
        <v>12</v>
      </c>
      <c r="N33" s="664" t="s">
        <v>820</v>
      </c>
      <c r="O33" s="665">
        <f t="shared" si="4"/>
        <v>14400000</v>
      </c>
      <c r="P33" s="666"/>
      <c r="Q33" s="666"/>
      <c r="R33" s="667"/>
      <c r="S33" s="668"/>
    </row>
    <row r="34" spans="1:19" ht="15" customHeight="1">
      <c r="A34" s="617"/>
      <c r="B34" s="632"/>
      <c r="C34" s="632"/>
      <c r="D34" s="632"/>
      <c r="E34" s="3443"/>
      <c r="F34" s="657" t="s">
        <v>837</v>
      </c>
      <c r="G34" s="658">
        <v>40000</v>
      </c>
      <c r="H34" s="659" t="s">
        <v>817</v>
      </c>
      <c r="I34" s="660">
        <v>10</v>
      </c>
      <c r="J34" s="659" t="s">
        <v>817</v>
      </c>
      <c r="K34" s="661">
        <v>2</v>
      </c>
      <c r="L34" s="662" t="s">
        <v>817</v>
      </c>
      <c r="M34" s="663">
        <v>12</v>
      </c>
      <c r="N34" s="664" t="s">
        <v>820</v>
      </c>
      <c r="O34" s="665">
        <f t="shared" si="4"/>
        <v>9600000</v>
      </c>
      <c r="P34" s="666"/>
      <c r="Q34" s="666"/>
      <c r="R34" s="667"/>
      <c r="S34" s="668"/>
    </row>
    <row r="35" spans="1:19" ht="15" customHeight="1">
      <c r="A35" s="617"/>
      <c r="B35" s="632"/>
      <c r="C35" s="632"/>
      <c r="D35" s="632"/>
      <c r="E35" s="3443"/>
      <c r="F35" s="649" t="s">
        <v>838</v>
      </c>
      <c r="G35" s="650"/>
      <c r="H35" s="649"/>
      <c r="I35" s="649"/>
      <c r="J35" s="649"/>
      <c r="K35" s="649"/>
      <c r="L35" s="649"/>
      <c r="M35" s="649"/>
      <c r="N35" s="651"/>
      <c r="O35" s="652">
        <f>SUM(O36:O47)</f>
        <v>244500000</v>
      </c>
      <c r="P35" s="548">
        <f>O35</f>
        <v>244500000</v>
      </c>
      <c r="Q35" s="653">
        <v>216180000</v>
      </c>
      <c r="R35" s="654">
        <f>+P35-Q35</f>
        <v>28320000</v>
      </c>
      <c r="S35" s="655">
        <f>+R35/Q35</f>
        <v>0.13100194282542327</v>
      </c>
    </row>
    <row r="36" spans="1:19" ht="15" customHeight="1">
      <c r="A36" s="759"/>
      <c r="B36" s="703"/>
      <c r="C36" s="703"/>
      <c r="D36" s="703"/>
      <c r="E36" s="3452"/>
      <c r="F36" s="2978" t="s">
        <v>839</v>
      </c>
      <c r="G36" s="2979">
        <v>30000</v>
      </c>
      <c r="H36" s="2560" t="s">
        <v>817</v>
      </c>
      <c r="I36" s="2980">
        <v>20</v>
      </c>
      <c r="J36" s="2560" t="s">
        <v>810</v>
      </c>
      <c r="K36" s="2981">
        <v>4</v>
      </c>
      <c r="L36" s="2560" t="s">
        <v>817</v>
      </c>
      <c r="M36" s="2561">
        <v>12</v>
      </c>
      <c r="N36" s="2528" t="s">
        <v>811</v>
      </c>
      <c r="O36" s="2982">
        <f t="shared" ref="O36:O47" si="5">G36*I36*K36*M36</f>
        <v>28800000</v>
      </c>
      <c r="P36" s="1561"/>
      <c r="Q36" s="1561"/>
      <c r="R36" s="1562"/>
      <c r="S36" s="1563"/>
    </row>
    <row r="37" spans="1:19" ht="15" customHeight="1">
      <c r="A37" s="617"/>
      <c r="B37" s="632"/>
      <c r="C37" s="632"/>
      <c r="D37" s="632"/>
      <c r="E37" s="3443"/>
      <c r="F37" s="670" t="s">
        <v>732</v>
      </c>
      <c r="G37" s="671">
        <v>40000</v>
      </c>
      <c r="H37" s="659" t="s">
        <v>21</v>
      </c>
      <c r="I37" s="660">
        <v>20</v>
      </c>
      <c r="J37" s="659" t="s">
        <v>21</v>
      </c>
      <c r="K37" s="661">
        <v>3</v>
      </c>
      <c r="L37" s="659" t="s">
        <v>21</v>
      </c>
      <c r="M37" s="663">
        <v>12</v>
      </c>
      <c r="N37" s="664" t="s">
        <v>22</v>
      </c>
      <c r="O37" s="665">
        <f t="shared" si="5"/>
        <v>28800000</v>
      </c>
      <c r="P37" s="666"/>
      <c r="Q37" s="666"/>
      <c r="R37" s="667"/>
      <c r="S37" s="668"/>
    </row>
    <row r="38" spans="1:19" ht="15" customHeight="1">
      <c r="A38" s="617"/>
      <c r="B38" s="632"/>
      <c r="C38" s="632"/>
      <c r="D38" s="632"/>
      <c r="E38" s="3443"/>
      <c r="F38" s="670" t="s">
        <v>840</v>
      </c>
      <c r="G38" s="671">
        <v>30000</v>
      </c>
      <c r="H38" s="659" t="s">
        <v>21</v>
      </c>
      <c r="I38" s="660">
        <v>15</v>
      </c>
      <c r="J38" s="659" t="s">
        <v>21</v>
      </c>
      <c r="K38" s="661">
        <v>4</v>
      </c>
      <c r="L38" s="659" t="s">
        <v>21</v>
      </c>
      <c r="M38" s="663">
        <v>12</v>
      </c>
      <c r="N38" s="664" t="s">
        <v>22</v>
      </c>
      <c r="O38" s="665">
        <f t="shared" si="5"/>
        <v>21600000</v>
      </c>
      <c r="P38" s="666"/>
      <c r="Q38" s="666"/>
      <c r="R38" s="667"/>
      <c r="S38" s="668"/>
    </row>
    <row r="39" spans="1:19" ht="15" customHeight="1">
      <c r="A39" s="617"/>
      <c r="B39" s="632"/>
      <c r="C39" s="632"/>
      <c r="D39" s="632"/>
      <c r="E39" s="3443"/>
      <c r="F39" s="670" t="s">
        <v>841</v>
      </c>
      <c r="G39" s="671">
        <v>35000</v>
      </c>
      <c r="H39" s="659" t="s">
        <v>21</v>
      </c>
      <c r="I39" s="660">
        <v>15</v>
      </c>
      <c r="J39" s="659" t="s">
        <v>21</v>
      </c>
      <c r="K39" s="661">
        <v>2</v>
      </c>
      <c r="L39" s="659" t="s">
        <v>21</v>
      </c>
      <c r="M39" s="663">
        <v>12</v>
      </c>
      <c r="N39" s="664" t="s">
        <v>22</v>
      </c>
      <c r="O39" s="665">
        <f t="shared" si="5"/>
        <v>12600000</v>
      </c>
      <c r="P39" s="666"/>
      <c r="Q39" s="666"/>
      <c r="R39" s="667"/>
      <c r="S39" s="668"/>
    </row>
    <row r="40" spans="1:19" ht="15" customHeight="1">
      <c r="A40" s="617"/>
      <c r="B40" s="632"/>
      <c r="C40" s="632"/>
      <c r="D40" s="632"/>
      <c r="E40" s="3443"/>
      <c r="F40" s="670" t="s">
        <v>842</v>
      </c>
      <c r="G40" s="671">
        <v>40000</v>
      </c>
      <c r="H40" s="659" t="s">
        <v>21</v>
      </c>
      <c r="I40" s="660">
        <v>15</v>
      </c>
      <c r="J40" s="659" t="s">
        <v>21</v>
      </c>
      <c r="K40" s="661">
        <v>2</v>
      </c>
      <c r="L40" s="659" t="s">
        <v>21</v>
      </c>
      <c r="M40" s="663">
        <v>12</v>
      </c>
      <c r="N40" s="664" t="s">
        <v>22</v>
      </c>
      <c r="O40" s="665">
        <f t="shared" si="5"/>
        <v>14400000</v>
      </c>
      <c r="P40" s="666"/>
      <c r="Q40" s="666"/>
      <c r="R40" s="667"/>
      <c r="S40" s="668"/>
    </row>
    <row r="41" spans="1:19" ht="15" customHeight="1">
      <c r="A41" s="617"/>
      <c r="B41" s="632"/>
      <c r="C41" s="632"/>
      <c r="D41" s="632"/>
      <c r="E41" s="3443"/>
      <c r="F41" s="670" t="s">
        <v>843</v>
      </c>
      <c r="G41" s="671">
        <v>30000</v>
      </c>
      <c r="H41" s="659" t="s">
        <v>21</v>
      </c>
      <c r="I41" s="660">
        <v>15</v>
      </c>
      <c r="J41" s="659" t="s">
        <v>21</v>
      </c>
      <c r="K41" s="661">
        <v>2</v>
      </c>
      <c r="L41" s="659" t="s">
        <v>21</v>
      </c>
      <c r="M41" s="663">
        <v>12</v>
      </c>
      <c r="N41" s="664" t="s">
        <v>22</v>
      </c>
      <c r="O41" s="665">
        <f t="shared" si="5"/>
        <v>10800000</v>
      </c>
      <c r="P41" s="666"/>
      <c r="Q41" s="666"/>
      <c r="R41" s="667"/>
      <c r="S41" s="668"/>
    </row>
    <row r="42" spans="1:19" ht="15" customHeight="1">
      <c r="A42" s="617"/>
      <c r="B42" s="632"/>
      <c r="C42" s="632"/>
      <c r="D42" s="632"/>
      <c r="E42" s="3443"/>
      <c r="F42" s="670" t="s">
        <v>844</v>
      </c>
      <c r="G42" s="671">
        <v>40000</v>
      </c>
      <c r="H42" s="659" t="s">
        <v>21</v>
      </c>
      <c r="I42" s="660">
        <v>15</v>
      </c>
      <c r="J42" s="659" t="s">
        <v>21</v>
      </c>
      <c r="K42" s="661">
        <v>4</v>
      </c>
      <c r="L42" s="659" t="s">
        <v>21</v>
      </c>
      <c r="M42" s="663">
        <v>12</v>
      </c>
      <c r="N42" s="664" t="s">
        <v>22</v>
      </c>
      <c r="O42" s="665">
        <f t="shared" si="5"/>
        <v>28800000</v>
      </c>
      <c r="P42" s="666"/>
      <c r="Q42" s="666"/>
      <c r="R42" s="667"/>
      <c r="S42" s="668"/>
    </row>
    <row r="43" spans="1:19" ht="15" customHeight="1">
      <c r="A43" s="617"/>
      <c r="B43" s="632"/>
      <c r="C43" s="632"/>
      <c r="D43" s="632"/>
      <c r="E43" s="3443"/>
      <c r="F43" s="670" t="s">
        <v>845</v>
      </c>
      <c r="G43" s="671">
        <v>30000</v>
      </c>
      <c r="H43" s="659" t="s">
        <v>21</v>
      </c>
      <c r="I43" s="660">
        <v>15</v>
      </c>
      <c r="J43" s="659" t="s">
        <v>21</v>
      </c>
      <c r="K43" s="661">
        <v>3</v>
      </c>
      <c r="L43" s="659" t="s">
        <v>21</v>
      </c>
      <c r="M43" s="663">
        <v>12</v>
      </c>
      <c r="N43" s="664" t="s">
        <v>22</v>
      </c>
      <c r="O43" s="665">
        <f t="shared" si="5"/>
        <v>16200000</v>
      </c>
      <c r="P43" s="666"/>
      <c r="Q43" s="666"/>
      <c r="R43" s="667"/>
      <c r="S43" s="668"/>
    </row>
    <row r="44" spans="1:19" ht="15" customHeight="1">
      <c r="A44" s="617"/>
      <c r="B44" s="632"/>
      <c r="C44" s="632"/>
      <c r="D44" s="632"/>
      <c r="E44" s="3443"/>
      <c r="F44" s="670" t="s">
        <v>846</v>
      </c>
      <c r="G44" s="671">
        <v>35000</v>
      </c>
      <c r="H44" s="659" t="s">
        <v>21</v>
      </c>
      <c r="I44" s="660">
        <v>15</v>
      </c>
      <c r="J44" s="659" t="s">
        <v>21</v>
      </c>
      <c r="K44" s="661">
        <v>3</v>
      </c>
      <c r="L44" s="659" t="s">
        <v>21</v>
      </c>
      <c r="M44" s="663">
        <v>12</v>
      </c>
      <c r="N44" s="664" t="s">
        <v>22</v>
      </c>
      <c r="O44" s="665">
        <f t="shared" si="5"/>
        <v>18900000</v>
      </c>
      <c r="P44" s="666"/>
      <c r="Q44" s="666"/>
      <c r="R44" s="667"/>
      <c r="S44" s="668"/>
    </row>
    <row r="45" spans="1:19" ht="15" customHeight="1">
      <c r="A45" s="617"/>
      <c r="B45" s="632"/>
      <c r="C45" s="632"/>
      <c r="D45" s="632"/>
      <c r="E45" s="3443"/>
      <c r="F45" s="670" t="s">
        <v>847</v>
      </c>
      <c r="G45" s="671">
        <v>30000</v>
      </c>
      <c r="H45" s="659" t="s">
        <v>21</v>
      </c>
      <c r="I45" s="660">
        <v>15</v>
      </c>
      <c r="J45" s="659" t="s">
        <v>21</v>
      </c>
      <c r="K45" s="661">
        <v>6</v>
      </c>
      <c r="L45" s="659" t="s">
        <v>21</v>
      </c>
      <c r="M45" s="663">
        <v>12</v>
      </c>
      <c r="N45" s="664" t="s">
        <v>22</v>
      </c>
      <c r="O45" s="665">
        <f t="shared" si="5"/>
        <v>32400000</v>
      </c>
      <c r="P45" s="666"/>
      <c r="Q45" s="666"/>
      <c r="R45" s="667"/>
      <c r="S45" s="668"/>
    </row>
    <row r="46" spans="1:19" ht="15" customHeight="1">
      <c r="A46" s="617"/>
      <c r="B46" s="632"/>
      <c r="C46" s="632"/>
      <c r="D46" s="632"/>
      <c r="E46" s="3442"/>
      <c r="F46" s="670" t="s">
        <v>848</v>
      </c>
      <c r="G46" s="671">
        <v>30000</v>
      </c>
      <c r="H46" s="659" t="s">
        <v>21</v>
      </c>
      <c r="I46" s="660">
        <v>10</v>
      </c>
      <c r="J46" s="659" t="s">
        <v>21</v>
      </c>
      <c r="K46" s="661">
        <v>2</v>
      </c>
      <c r="L46" s="659" t="s">
        <v>21</v>
      </c>
      <c r="M46" s="663">
        <v>12</v>
      </c>
      <c r="N46" s="664" t="s">
        <v>22</v>
      </c>
      <c r="O46" s="665">
        <f t="shared" si="5"/>
        <v>7200000</v>
      </c>
      <c r="P46" s="666"/>
      <c r="Q46" s="666"/>
      <c r="R46" s="667"/>
      <c r="S46" s="668"/>
    </row>
    <row r="47" spans="1:19" ht="15" customHeight="1">
      <c r="A47" s="617"/>
      <c r="B47" s="632"/>
      <c r="C47" s="632"/>
      <c r="D47" s="632"/>
      <c r="E47" s="3443"/>
      <c r="F47" s="670" t="s">
        <v>849</v>
      </c>
      <c r="G47" s="671">
        <v>20000</v>
      </c>
      <c r="H47" s="659" t="s">
        <v>21</v>
      </c>
      <c r="I47" s="660">
        <v>100</v>
      </c>
      <c r="J47" s="659" t="s">
        <v>21</v>
      </c>
      <c r="K47" s="661">
        <v>1</v>
      </c>
      <c r="L47" s="659" t="s">
        <v>21</v>
      </c>
      <c r="M47" s="663">
        <v>12</v>
      </c>
      <c r="N47" s="664" t="s">
        <v>22</v>
      </c>
      <c r="O47" s="665">
        <f t="shared" si="5"/>
        <v>24000000</v>
      </c>
      <c r="P47" s="666"/>
      <c r="Q47" s="666"/>
      <c r="R47" s="667"/>
      <c r="S47" s="668"/>
    </row>
    <row r="48" spans="1:19" ht="15" customHeight="1">
      <c r="A48" s="617"/>
      <c r="B48" s="632"/>
      <c r="C48" s="632"/>
      <c r="D48" s="632"/>
      <c r="E48" s="3443"/>
      <c r="F48" s="672" t="s">
        <v>850</v>
      </c>
      <c r="G48" s="673"/>
      <c r="H48" s="649"/>
      <c r="I48" s="674"/>
      <c r="J48" s="649"/>
      <c r="K48" s="675"/>
      <c r="L48" s="649"/>
      <c r="M48" s="676"/>
      <c r="N48" s="651"/>
      <c r="O48" s="652">
        <f>SUM(O49:O50)</f>
        <v>6000000</v>
      </c>
      <c r="P48" s="548">
        <f>O48</f>
        <v>6000000</v>
      </c>
      <c r="Q48" s="653">
        <v>0</v>
      </c>
      <c r="R48" s="654">
        <f>+P48-Q48</f>
        <v>6000000</v>
      </c>
      <c r="S48" s="655"/>
    </row>
    <row r="49" spans="1:22" ht="15" customHeight="1">
      <c r="A49" s="617"/>
      <c r="B49" s="632"/>
      <c r="C49" s="632"/>
      <c r="D49" s="632"/>
      <c r="E49" s="3443"/>
      <c r="F49" s="657" t="s">
        <v>851</v>
      </c>
      <c r="G49" s="658">
        <v>40000</v>
      </c>
      <c r="H49" s="662" t="s">
        <v>21</v>
      </c>
      <c r="I49" s="660">
        <v>15</v>
      </c>
      <c r="J49" s="662" t="s">
        <v>21</v>
      </c>
      <c r="K49" s="661">
        <v>5</v>
      </c>
      <c r="L49" s="662" t="s">
        <v>21</v>
      </c>
      <c r="M49" s="663">
        <v>1</v>
      </c>
      <c r="N49" s="669" t="s">
        <v>22</v>
      </c>
      <c r="O49" s="665">
        <f>G49*I49*K49*M49</f>
        <v>3000000</v>
      </c>
      <c r="P49" s="666"/>
      <c r="Q49" s="666"/>
      <c r="R49" s="667"/>
      <c r="S49" s="668"/>
    </row>
    <row r="50" spans="1:22" ht="15" customHeight="1">
      <c r="A50" s="617"/>
      <c r="B50" s="632"/>
      <c r="C50" s="632"/>
      <c r="D50" s="632"/>
      <c r="E50" s="3443"/>
      <c r="F50" s="657" t="s">
        <v>852</v>
      </c>
      <c r="G50" s="658">
        <v>40000</v>
      </c>
      <c r="H50" s="662" t="s">
        <v>21</v>
      </c>
      <c r="I50" s="660">
        <v>15</v>
      </c>
      <c r="J50" s="662" t="s">
        <v>21</v>
      </c>
      <c r="K50" s="661">
        <v>5</v>
      </c>
      <c r="L50" s="662" t="s">
        <v>21</v>
      </c>
      <c r="M50" s="663">
        <v>1</v>
      </c>
      <c r="N50" s="669" t="s">
        <v>22</v>
      </c>
      <c r="O50" s="665">
        <f>G50*I50*K50*M50</f>
        <v>3000000</v>
      </c>
      <c r="P50" s="666"/>
      <c r="Q50" s="666"/>
      <c r="R50" s="667"/>
      <c r="S50" s="668"/>
    </row>
    <row r="51" spans="1:22" ht="15" customHeight="1">
      <c r="A51" s="617"/>
      <c r="B51" s="632"/>
      <c r="C51" s="632"/>
      <c r="D51" s="632"/>
      <c r="E51" s="3637" t="s">
        <v>155</v>
      </c>
      <c r="F51" s="3638"/>
      <c r="G51" s="3638"/>
      <c r="H51" s="3638"/>
      <c r="I51" s="3638"/>
      <c r="J51" s="3638"/>
      <c r="K51" s="3638"/>
      <c r="L51" s="3638"/>
      <c r="M51" s="3638"/>
      <c r="N51" s="3638"/>
      <c r="O51" s="3639"/>
      <c r="P51" s="645">
        <f>O52+O53+O54</f>
        <v>137650000</v>
      </c>
      <c r="Q51" s="645">
        <f>SUM(Q52:Q56)</f>
        <v>142400000</v>
      </c>
      <c r="R51" s="646">
        <f>+P51-Q51</f>
        <v>-4750000</v>
      </c>
      <c r="S51" s="647">
        <f>+R51/Q51</f>
        <v>-3.3356741573033706E-2</v>
      </c>
    </row>
    <row r="52" spans="1:22" ht="15" customHeight="1">
      <c r="A52" s="617"/>
      <c r="B52" s="632"/>
      <c r="C52" s="632"/>
      <c r="D52" s="632"/>
      <c r="E52" s="3442"/>
      <c r="F52" s="672" t="s">
        <v>853</v>
      </c>
      <c r="G52" s="677">
        <v>2500000</v>
      </c>
      <c r="H52" s="672" t="s">
        <v>21</v>
      </c>
      <c r="I52" s="678">
        <v>4</v>
      </c>
      <c r="J52" s="679"/>
      <c r="K52" s="679"/>
      <c r="L52" s="679"/>
      <c r="M52" s="679"/>
      <c r="N52" s="680" t="s">
        <v>22</v>
      </c>
      <c r="O52" s="681">
        <f>+I52*G52</f>
        <v>10000000</v>
      </c>
      <c r="P52" s="653">
        <f>O52</f>
        <v>10000000</v>
      </c>
      <c r="Q52" s="653">
        <v>10000000</v>
      </c>
      <c r="R52" s="654">
        <f>+P52-Q52</f>
        <v>0</v>
      </c>
      <c r="S52" s="655">
        <f>+R52/Q52</f>
        <v>0</v>
      </c>
    </row>
    <row r="53" spans="1:22" ht="15" customHeight="1">
      <c r="A53" s="617"/>
      <c r="B53" s="632"/>
      <c r="C53" s="632"/>
      <c r="D53" s="632"/>
      <c r="E53" s="3442"/>
      <c r="F53" s="672" t="s">
        <v>854</v>
      </c>
      <c r="G53" s="677">
        <v>4000000</v>
      </c>
      <c r="H53" s="672" t="s">
        <v>21</v>
      </c>
      <c r="I53" s="682">
        <v>30</v>
      </c>
      <c r="J53" s="679"/>
      <c r="K53" s="679"/>
      <c r="L53" s="679"/>
      <c r="M53" s="679"/>
      <c r="N53" s="680" t="s">
        <v>22</v>
      </c>
      <c r="O53" s="681">
        <f>+I53*G53</f>
        <v>120000000</v>
      </c>
      <c r="P53" s="653">
        <f t="shared" ref="P53:P54" si="6">O53</f>
        <v>120000000</v>
      </c>
      <c r="Q53" s="653">
        <v>120000000</v>
      </c>
      <c r="R53" s="654">
        <f>+P53-Q53</f>
        <v>0</v>
      </c>
      <c r="S53" s="655">
        <f>+R53/Q53</f>
        <v>0</v>
      </c>
      <c r="V53" s="16">
        <v>-456000</v>
      </c>
    </row>
    <row r="54" spans="1:22" ht="15" customHeight="1">
      <c r="A54" s="617"/>
      <c r="B54" s="632"/>
      <c r="C54" s="632"/>
      <c r="D54" s="632"/>
      <c r="E54" s="3442"/>
      <c r="F54" s="672" t="s">
        <v>855</v>
      </c>
      <c r="G54" s="677">
        <v>450000</v>
      </c>
      <c r="H54" s="672" t="s">
        <v>21</v>
      </c>
      <c r="I54" s="682">
        <v>17</v>
      </c>
      <c r="J54" s="679"/>
      <c r="K54" s="679"/>
      <c r="L54" s="679"/>
      <c r="M54" s="679"/>
      <c r="N54" s="680" t="s">
        <v>22</v>
      </c>
      <c r="O54" s="681">
        <f>+I54*G54</f>
        <v>7650000</v>
      </c>
      <c r="P54" s="653">
        <f t="shared" si="6"/>
        <v>7650000</v>
      </c>
      <c r="Q54" s="653">
        <v>10000000</v>
      </c>
      <c r="R54" s="654">
        <f>+P54-Q54</f>
        <v>-2350000</v>
      </c>
      <c r="S54" s="655">
        <f>+R54/Q54</f>
        <v>-0.23499999999999999</v>
      </c>
    </row>
    <row r="55" spans="1:22" ht="15" customHeight="1">
      <c r="A55" s="617"/>
      <c r="B55" s="632"/>
      <c r="C55" s="632"/>
      <c r="D55" s="632"/>
      <c r="E55" s="3442"/>
      <c r="F55" s="672" t="s">
        <v>2347</v>
      </c>
      <c r="G55" s="677"/>
      <c r="H55" s="672"/>
      <c r="I55" s="682"/>
      <c r="J55" s="679"/>
      <c r="K55" s="679"/>
      <c r="L55" s="679"/>
      <c r="M55" s="679"/>
      <c r="N55" s="680"/>
      <c r="O55" s="681"/>
      <c r="P55" s="653">
        <v>0</v>
      </c>
      <c r="Q55" s="653">
        <v>900000</v>
      </c>
      <c r="R55" s="654">
        <f t="shared" ref="R55:R56" si="7">+P55-Q55</f>
        <v>-900000</v>
      </c>
      <c r="S55" s="655">
        <f t="shared" ref="S55:S56" si="8">+R55/Q55</f>
        <v>-1</v>
      </c>
    </row>
    <row r="56" spans="1:22" ht="15" customHeight="1">
      <c r="A56" s="617"/>
      <c r="B56" s="632"/>
      <c r="C56" s="632"/>
      <c r="D56" s="632"/>
      <c r="E56" s="3442"/>
      <c r="F56" s="672" t="s">
        <v>2348</v>
      </c>
      <c r="G56" s="677"/>
      <c r="H56" s="672"/>
      <c r="I56" s="682"/>
      <c r="J56" s="679"/>
      <c r="K56" s="679"/>
      <c r="L56" s="679"/>
      <c r="M56" s="679"/>
      <c r="N56" s="680"/>
      <c r="O56" s="681"/>
      <c r="P56" s="653">
        <v>0</v>
      </c>
      <c r="Q56" s="683">
        <v>1500000</v>
      </c>
      <c r="R56" s="654">
        <f t="shared" si="7"/>
        <v>-1500000</v>
      </c>
      <c r="S56" s="655">
        <f t="shared" si="8"/>
        <v>-1</v>
      </c>
    </row>
    <row r="57" spans="1:22" s="14" customFormat="1" ht="15" customHeight="1">
      <c r="A57" s="617"/>
      <c r="B57" s="632"/>
      <c r="C57" s="632"/>
      <c r="D57" s="684" t="s">
        <v>156</v>
      </c>
      <c r="E57" s="2229"/>
      <c r="F57" s="635"/>
      <c r="G57" s="636"/>
      <c r="H57" s="635"/>
      <c r="I57" s="635"/>
      <c r="J57" s="635"/>
      <c r="K57" s="635"/>
      <c r="L57" s="635"/>
      <c r="M57" s="635"/>
      <c r="N57" s="637"/>
      <c r="O57" s="636"/>
      <c r="P57" s="685">
        <f>P58+P61</f>
        <v>3500000</v>
      </c>
      <c r="Q57" s="685">
        <f>Q58+Q61</f>
        <v>3500000</v>
      </c>
      <c r="R57" s="639">
        <f>+P57-Q57</f>
        <v>0</v>
      </c>
      <c r="S57" s="640">
        <f>+R57/Q57</f>
        <v>0</v>
      </c>
    </row>
    <row r="58" spans="1:22" ht="15" customHeight="1">
      <c r="A58" s="617"/>
      <c r="B58" s="632"/>
      <c r="C58" s="632"/>
      <c r="D58" s="626"/>
      <c r="E58" s="3637" t="s">
        <v>157</v>
      </c>
      <c r="F58" s="3638"/>
      <c r="G58" s="3638"/>
      <c r="H58" s="3638"/>
      <c r="I58" s="3638"/>
      <c r="J58" s="3638"/>
      <c r="K58" s="3638"/>
      <c r="L58" s="3638"/>
      <c r="M58" s="3638"/>
      <c r="N58" s="3638"/>
      <c r="O58" s="3639"/>
      <c r="P58" s="645">
        <f>ROUNDUP(O59,-3)</f>
        <v>3000000</v>
      </c>
      <c r="Q58" s="645">
        <v>2400000</v>
      </c>
      <c r="R58" s="646">
        <f>+P58-Q58</f>
        <v>600000</v>
      </c>
      <c r="S58" s="647">
        <f>+R58/Q58</f>
        <v>0.25</v>
      </c>
      <c r="V58" s="229">
        <f>O68-V53</f>
        <v>56256000</v>
      </c>
    </row>
    <row r="59" spans="1:22" ht="15" customHeight="1">
      <c r="A59" s="617"/>
      <c r="B59" s="632"/>
      <c r="C59" s="632"/>
      <c r="D59" s="632"/>
      <c r="E59" s="3442"/>
      <c r="F59" s="679" t="s">
        <v>158</v>
      </c>
      <c r="G59" s="686"/>
      <c r="H59" s="679"/>
      <c r="I59" s="679"/>
      <c r="J59" s="679"/>
      <c r="K59" s="679"/>
      <c r="L59" s="679"/>
      <c r="M59" s="679"/>
      <c r="N59" s="687"/>
      <c r="O59" s="681">
        <f>SUM(O60:O60)</f>
        <v>3000000</v>
      </c>
      <c r="P59" s="653">
        <f>P58</f>
        <v>3000000</v>
      </c>
      <c r="Q59" s="653">
        <f>Q58</f>
        <v>2400000</v>
      </c>
      <c r="R59" s="654">
        <f>+P59-Q59</f>
        <v>600000</v>
      </c>
      <c r="S59" s="688">
        <f>+R59/Q59</f>
        <v>0.25</v>
      </c>
    </row>
    <row r="60" spans="1:22" ht="15" customHeight="1">
      <c r="A60" s="617"/>
      <c r="B60" s="632"/>
      <c r="C60" s="632"/>
      <c r="D60" s="632"/>
      <c r="E60" s="3443"/>
      <c r="F60" s="689" t="s">
        <v>159</v>
      </c>
      <c r="G60" s="658">
        <v>300000</v>
      </c>
      <c r="H60" s="662" t="s">
        <v>21</v>
      </c>
      <c r="I60" s="690">
        <v>10</v>
      </c>
      <c r="J60" s="691"/>
      <c r="K60" s="691"/>
      <c r="L60" s="691"/>
      <c r="M60" s="691"/>
      <c r="N60" s="692" t="s">
        <v>22</v>
      </c>
      <c r="O60" s="693">
        <f>G60*I60</f>
        <v>3000000</v>
      </c>
      <c r="P60" s="694"/>
      <c r="Q60" s="694"/>
      <c r="R60" s="695"/>
      <c r="S60" s="696"/>
    </row>
    <row r="61" spans="1:22" ht="15" customHeight="1">
      <c r="A61" s="617"/>
      <c r="B61" s="632"/>
      <c r="C61" s="632"/>
      <c r="D61" s="632"/>
      <c r="E61" s="3637" t="s">
        <v>160</v>
      </c>
      <c r="F61" s="3638"/>
      <c r="G61" s="3638"/>
      <c r="H61" s="3638"/>
      <c r="I61" s="3638"/>
      <c r="J61" s="3638"/>
      <c r="K61" s="3638"/>
      <c r="L61" s="3638"/>
      <c r="M61" s="3638"/>
      <c r="N61" s="3638"/>
      <c r="O61" s="3639"/>
      <c r="P61" s="645">
        <f>P62+P64</f>
        <v>500000</v>
      </c>
      <c r="Q61" s="645">
        <f>Q62+Q64</f>
        <v>1100000</v>
      </c>
      <c r="R61" s="646">
        <f>+P61-Q61</f>
        <v>-600000</v>
      </c>
      <c r="S61" s="647">
        <f>+R61/Q61</f>
        <v>-0.54545454545454541</v>
      </c>
    </row>
    <row r="62" spans="1:22" ht="15" customHeight="1">
      <c r="A62" s="617"/>
      <c r="B62" s="632"/>
      <c r="C62" s="632"/>
      <c r="D62" s="632"/>
      <c r="E62" s="3442"/>
      <c r="F62" s="679" t="s">
        <v>917</v>
      </c>
      <c r="G62" s="686"/>
      <c r="H62" s="679"/>
      <c r="I62" s="679"/>
      <c r="J62" s="679"/>
      <c r="K62" s="679"/>
      <c r="L62" s="679"/>
      <c r="M62" s="679"/>
      <c r="N62" s="687"/>
      <c r="O62" s="681">
        <f>SUM(O63:O63)</f>
        <v>400000</v>
      </c>
      <c r="P62" s="653">
        <v>400000</v>
      </c>
      <c r="Q62" s="653">
        <v>1000000</v>
      </c>
      <c r="R62" s="654">
        <f>+P62-Q62</f>
        <v>-600000</v>
      </c>
      <c r="S62" s="688">
        <f>+R62/Q62</f>
        <v>-0.6</v>
      </c>
      <c r="V62" s="16">
        <f>V58/12/25/80</f>
        <v>2344</v>
      </c>
    </row>
    <row r="63" spans="1:22" ht="15" customHeight="1">
      <c r="A63" s="617"/>
      <c r="B63" s="632"/>
      <c r="C63" s="632"/>
      <c r="D63" s="632"/>
      <c r="E63" s="3443"/>
      <c r="F63" s="697" t="s">
        <v>918</v>
      </c>
      <c r="G63" s="698">
        <v>200000</v>
      </c>
      <c r="H63" s="699" t="s">
        <v>2856</v>
      </c>
      <c r="I63" s="700">
        <v>2</v>
      </c>
      <c r="J63" s="691"/>
      <c r="K63" s="691"/>
      <c r="L63" s="691"/>
      <c r="M63" s="691"/>
      <c r="N63" s="701" t="s">
        <v>22</v>
      </c>
      <c r="O63" s="702">
        <f>SUM(G63*I63)</f>
        <v>400000</v>
      </c>
      <c r="P63" s="694"/>
      <c r="Q63" s="694"/>
      <c r="R63" s="695"/>
      <c r="S63" s="696"/>
    </row>
    <row r="64" spans="1:22" ht="15" customHeight="1">
      <c r="A64" s="617"/>
      <c r="B64" s="632"/>
      <c r="C64" s="632"/>
      <c r="D64" s="632"/>
      <c r="E64" s="3442"/>
      <c r="F64" s="679" t="s">
        <v>920</v>
      </c>
      <c r="G64" s="686"/>
      <c r="H64" s="679"/>
      <c r="I64" s="679"/>
      <c r="J64" s="679"/>
      <c r="K64" s="679"/>
      <c r="L64" s="679"/>
      <c r="M64" s="679"/>
      <c r="N64" s="687"/>
      <c r="O64" s="681">
        <f>SUM(O65:O65)</f>
        <v>100000</v>
      </c>
      <c r="P64" s="653">
        <v>100000</v>
      </c>
      <c r="Q64" s="653">
        <v>100000</v>
      </c>
      <c r="R64" s="654">
        <f>+P64-Q64</f>
        <v>0</v>
      </c>
      <c r="S64" s="688">
        <f>+R64/Q64</f>
        <v>0</v>
      </c>
    </row>
    <row r="65" spans="1:19" ht="15" customHeight="1">
      <c r="A65" s="617"/>
      <c r="B65" s="632"/>
      <c r="C65" s="632"/>
      <c r="D65" s="703"/>
      <c r="E65" s="3452"/>
      <c r="F65" s="705" t="s">
        <v>921</v>
      </c>
      <c r="G65" s="706">
        <v>100000</v>
      </c>
      <c r="H65" s="707" t="s">
        <v>919</v>
      </c>
      <c r="I65" s="708">
        <v>1</v>
      </c>
      <c r="J65" s="709"/>
      <c r="K65" s="709"/>
      <c r="L65" s="709"/>
      <c r="M65" s="709"/>
      <c r="N65" s="710" t="s">
        <v>22</v>
      </c>
      <c r="O65" s="711">
        <f>SUM(G65*I65)</f>
        <v>100000</v>
      </c>
      <c r="P65" s="712"/>
      <c r="Q65" s="712"/>
      <c r="R65" s="713"/>
      <c r="S65" s="714"/>
    </row>
    <row r="66" spans="1:19" ht="15" customHeight="1">
      <c r="A66" s="617"/>
      <c r="B66" s="632"/>
      <c r="C66" s="632"/>
      <c r="D66" s="715" t="s">
        <v>161</v>
      </c>
      <c r="E66" s="3288"/>
      <c r="F66" s="716"/>
      <c r="G66" s="717"/>
      <c r="H66" s="716"/>
      <c r="I66" s="716"/>
      <c r="J66" s="716"/>
      <c r="K66" s="716"/>
      <c r="L66" s="716"/>
      <c r="M66" s="716"/>
      <c r="N66" s="718"/>
      <c r="O66" s="717"/>
      <c r="P66" s="685">
        <f>P67</f>
        <v>55800000</v>
      </c>
      <c r="Q66" s="685">
        <f>Q67</f>
        <v>51000000</v>
      </c>
      <c r="R66" s="639">
        <f>+P66-Q66</f>
        <v>4800000</v>
      </c>
      <c r="S66" s="640">
        <f>+R66/Q66</f>
        <v>9.4117647058823528E-2</v>
      </c>
    </row>
    <row r="67" spans="1:19" ht="15" customHeight="1">
      <c r="A67" s="617"/>
      <c r="B67" s="632"/>
      <c r="C67" s="719"/>
      <c r="D67" s="626"/>
      <c r="E67" s="3637" t="s">
        <v>162</v>
      </c>
      <c r="F67" s="3638"/>
      <c r="G67" s="3638"/>
      <c r="H67" s="3638"/>
      <c r="I67" s="3638"/>
      <c r="J67" s="3638"/>
      <c r="K67" s="3638"/>
      <c r="L67" s="3638"/>
      <c r="M67" s="3638"/>
      <c r="N67" s="3638"/>
      <c r="O67" s="3639"/>
      <c r="P67" s="645">
        <f>ROUNDUP(O68,-3)</f>
        <v>55800000</v>
      </c>
      <c r="Q67" s="645">
        <v>51000000</v>
      </c>
      <c r="R67" s="646">
        <f>+P67-Q67</f>
        <v>4800000</v>
      </c>
      <c r="S67" s="647">
        <f>+R67/Q67</f>
        <v>9.4117647058823528E-2</v>
      </c>
    </row>
    <row r="68" spans="1:19" ht="15" customHeight="1">
      <c r="A68" s="617"/>
      <c r="B68" s="632"/>
      <c r="C68" s="719"/>
      <c r="D68" s="632"/>
      <c r="E68" s="3442"/>
      <c r="F68" s="649" t="s">
        <v>914</v>
      </c>
      <c r="G68" s="686"/>
      <c r="H68" s="679"/>
      <c r="I68" s="679"/>
      <c r="J68" s="679"/>
      <c r="K68" s="679"/>
      <c r="L68" s="679"/>
      <c r="M68" s="679"/>
      <c r="N68" s="687"/>
      <c r="O68" s="652">
        <f>SUM(O69:O69)</f>
        <v>55800000</v>
      </c>
      <c r="P68" s="548">
        <f>O68</f>
        <v>55800000</v>
      </c>
      <c r="Q68" s="653">
        <f>Q67</f>
        <v>51000000</v>
      </c>
      <c r="R68" s="654">
        <f>+P68-Q68</f>
        <v>4800000</v>
      </c>
      <c r="S68" s="688">
        <f>+R68/Q68</f>
        <v>9.4117647058823528E-2</v>
      </c>
    </row>
    <row r="69" spans="1:19" ht="15" customHeight="1">
      <c r="A69" s="617"/>
      <c r="B69" s="632"/>
      <c r="C69" s="719"/>
      <c r="D69" s="703"/>
      <c r="E69" s="3443"/>
      <c r="F69" s="657" t="s">
        <v>2857</v>
      </c>
      <c r="G69" s="658">
        <v>2325</v>
      </c>
      <c r="H69" s="662" t="s">
        <v>2858</v>
      </c>
      <c r="I69" s="720">
        <v>80</v>
      </c>
      <c r="J69" s="662" t="s">
        <v>21</v>
      </c>
      <c r="K69" s="721">
        <v>25</v>
      </c>
      <c r="L69" s="662" t="s">
        <v>21</v>
      </c>
      <c r="M69" s="663">
        <v>12</v>
      </c>
      <c r="N69" s="669" t="s">
        <v>2859</v>
      </c>
      <c r="O69" s="722">
        <f>G69*I69*K69*M69</f>
        <v>55800000</v>
      </c>
      <c r="P69" s="694"/>
      <c r="Q69" s="712"/>
      <c r="R69" s="713"/>
      <c r="S69" s="714"/>
    </row>
    <row r="70" spans="1:19" s="14" customFormat="1" ht="15" customHeight="1">
      <c r="A70" s="617"/>
      <c r="B70" s="632"/>
      <c r="C70" s="3657" t="s">
        <v>165</v>
      </c>
      <c r="D70" s="3658"/>
      <c r="E70" s="3658"/>
      <c r="F70" s="3658"/>
      <c r="G70" s="3658"/>
      <c r="H70" s="3658"/>
      <c r="I70" s="3658"/>
      <c r="J70" s="3658"/>
      <c r="K70" s="3658"/>
      <c r="L70" s="3658"/>
      <c r="M70" s="3658"/>
      <c r="N70" s="3658"/>
      <c r="O70" s="3659"/>
      <c r="P70" s="631">
        <f>SUM(P71,P86,P75)</f>
        <v>319113000</v>
      </c>
      <c r="Q70" s="623">
        <f>SUM(Q71,Q75,Q86)</f>
        <v>890200000</v>
      </c>
      <c r="R70" s="624">
        <f>+P70-Q70</f>
        <v>-571087000</v>
      </c>
      <c r="S70" s="625">
        <f>+R70/Q70</f>
        <v>-0.64152662323073462</v>
      </c>
    </row>
    <row r="71" spans="1:19" s="14" customFormat="1" ht="15" customHeight="1">
      <c r="A71" s="759"/>
      <c r="B71" s="703"/>
      <c r="C71" s="2264"/>
      <c r="D71" s="635" t="s">
        <v>166</v>
      </c>
      <c r="E71" s="2229"/>
      <c r="F71" s="635"/>
      <c r="G71" s="636"/>
      <c r="H71" s="635"/>
      <c r="I71" s="635"/>
      <c r="J71" s="635"/>
      <c r="K71" s="635"/>
      <c r="L71" s="635"/>
      <c r="M71" s="635"/>
      <c r="N71" s="637"/>
      <c r="O71" s="636"/>
      <c r="P71" s="638">
        <f>P72</f>
        <v>200000</v>
      </c>
      <c r="Q71" s="638">
        <f>+Q72</f>
        <v>200000</v>
      </c>
      <c r="R71" s="639">
        <f>+P71-Q71</f>
        <v>0</v>
      </c>
      <c r="S71" s="640">
        <f>+R71/Q71</f>
        <v>0</v>
      </c>
    </row>
    <row r="72" spans="1:19" ht="15" customHeight="1">
      <c r="A72" s="617"/>
      <c r="B72" s="632"/>
      <c r="C72" s="632"/>
      <c r="D72" s="725"/>
      <c r="E72" s="3637" t="s">
        <v>167</v>
      </c>
      <c r="F72" s="3638"/>
      <c r="G72" s="3638"/>
      <c r="H72" s="3638"/>
      <c r="I72" s="3638"/>
      <c r="J72" s="3638"/>
      <c r="K72" s="3638"/>
      <c r="L72" s="3638"/>
      <c r="M72" s="3638"/>
      <c r="N72" s="3638"/>
      <c r="O72" s="3639"/>
      <c r="P72" s="1049">
        <f>ROUNDUP(O73,-3)</f>
        <v>200000</v>
      </c>
      <c r="Q72" s="1049">
        <f>Q73</f>
        <v>200000</v>
      </c>
      <c r="R72" s="1050">
        <f>+P72-Q72</f>
        <v>0</v>
      </c>
      <c r="S72" s="1051">
        <f>+R72/Q72</f>
        <v>0</v>
      </c>
    </row>
    <row r="73" spans="1:19" ht="15" customHeight="1">
      <c r="A73" s="617"/>
      <c r="B73" s="632"/>
      <c r="C73" s="632"/>
      <c r="D73" s="725"/>
      <c r="E73" s="3442"/>
      <c r="F73" s="679" t="s">
        <v>19</v>
      </c>
      <c r="G73" s="686"/>
      <c r="H73" s="679"/>
      <c r="I73" s="679"/>
      <c r="J73" s="679"/>
      <c r="K73" s="679"/>
      <c r="L73" s="679"/>
      <c r="M73" s="679"/>
      <c r="N73" s="687"/>
      <c r="O73" s="681">
        <f>SUM(O74:O74)</f>
        <v>200000</v>
      </c>
      <c r="P73" s="653">
        <v>200000</v>
      </c>
      <c r="Q73" s="653">
        <v>200000</v>
      </c>
      <c r="R73" s="654">
        <f>+P73-Q73</f>
        <v>0</v>
      </c>
      <c r="S73" s="688">
        <f>+R73/Q73</f>
        <v>0</v>
      </c>
    </row>
    <row r="74" spans="1:19" ht="15" customHeight="1">
      <c r="A74" s="617"/>
      <c r="B74" s="632"/>
      <c r="C74" s="632"/>
      <c r="D74" s="726"/>
      <c r="E74" s="3443"/>
      <c r="F74" s="697" t="s">
        <v>20</v>
      </c>
      <c r="G74" s="698">
        <v>200000</v>
      </c>
      <c r="H74" s="699" t="s">
        <v>922</v>
      </c>
      <c r="I74" s="727">
        <v>1</v>
      </c>
      <c r="J74" s="691"/>
      <c r="K74" s="691"/>
      <c r="L74" s="691"/>
      <c r="M74" s="691"/>
      <c r="N74" s="728" t="s">
        <v>916</v>
      </c>
      <c r="O74" s="729">
        <f>G74*I74</f>
        <v>200000</v>
      </c>
      <c r="P74" s="694"/>
      <c r="Q74" s="712"/>
      <c r="R74" s="713"/>
      <c r="S74" s="714"/>
    </row>
    <row r="75" spans="1:19" s="14" customFormat="1" ht="15" customHeight="1">
      <c r="A75" s="617"/>
      <c r="B75" s="632"/>
      <c r="C75" s="632"/>
      <c r="D75" s="533" t="s">
        <v>23</v>
      </c>
      <c r="E75" s="2229"/>
      <c r="F75" s="635"/>
      <c r="G75" s="636"/>
      <c r="H75" s="635"/>
      <c r="I75" s="635"/>
      <c r="J75" s="635"/>
      <c r="K75" s="635"/>
      <c r="L75" s="635"/>
      <c r="M75" s="635"/>
      <c r="N75" s="637"/>
      <c r="O75" s="636"/>
      <c r="P75" s="638">
        <f>SUM(P76:P85)</f>
        <v>0</v>
      </c>
      <c r="Q75" s="685">
        <f>SUM(Q76,Q85)</f>
        <v>29000000</v>
      </c>
      <c r="R75" s="639">
        <f>+P75-Q75</f>
        <v>-29000000</v>
      </c>
      <c r="S75" s="640">
        <f>+R75/Q75</f>
        <v>-1</v>
      </c>
    </row>
    <row r="76" spans="1:19" ht="15" customHeight="1">
      <c r="A76" s="617"/>
      <c r="B76" s="632"/>
      <c r="C76" s="632"/>
      <c r="D76" s="724"/>
      <c r="E76" s="3637" t="s">
        <v>169</v>
      </c>
      <c r="F76" s="3638"/>
      <c r="G76" s="3638"/>
      <c r="H76" s="3638"/>
      <c r="I76" s="3638"/>
      <c r="J76" s="3638"/>
      <c r="K76" s="3638"/>
      <c r="L76" s="3638"/>
      <c r="M76" s="3638"/>
      <c r="N76" s="3638"/>
      <c r="O76" s="3639"/>
      <c r="P76" s="645">
        <v>0</v>
      </c>
      <c r="Q76" s="645">
        <v>29000000</v>
      </c>
      <c r="R76" s="646">
        <f>+P76-Q76</f>
        <v>-29000000</v>
      </c>
      <c r="S76" s="647">
        <f>+R76/Q76</f>
        <v>-1</v>
      </c>
    </row>
    <row r="77" spans="1:19" ht="15" hidden="1" customHeight="1">
      <c r="A77" s="617"/>
      <c r="B77" s="632"/>
      <c r="C77" s="632"/>
      <c r="D77" s="719"/>
      <c r="E77" s="3453"/>
      <c r="F77" s="730"/>
      <c r="G77" s="731"/>
      <c r="H77" s="719"/>
      <c r="I77" s="732"/>
      <c r="J77" s="733"/>
      <c r="K77" s="733"/>
      <c r="L77" s="733"/>
      <c r="M77" s="733"/>
      <c r="N77" s="734"/>
      <c r="O77" s="735"/>
      <c r="P77" s="736"/>
      <c r="Q77" s="737"/>
      <c r="R77" s="738"/>
      <c r="S77" s="739"/>
    </row>
    <row r="78" spans="1:19" ht="15" hidden="1" customHeight="1">
      <c r="A78" s="617"/>
      <c r="B78" s="632"/>
      <c r="C78" s="632"/>
      <c r="D78" s="719"/>
      <c r="E78" s="3454"/>
      <c r="F78" s="740"/>
      <c r="G78" s="731"/>
      <c r="H78" s="719"/>
      <c r="I78" s="732"/>
      <c r="J78" s="719"/>
      <c r="K78" s="719"/>
      <c r="L78" s="719"/>
      <c r="M78" s="719"/>
      <c r="N78" s="734"/>
      <c r="O78" s="741"/>
      <c r="P78" s="742"/>
      <c r="Q78" s="743"/>
      <c r="R78" s="744"/>
      <c r="S78" s="745"/>
    </row>
    <row r="79" spans="1:19" ht="15" hidden="1" customHeight="1">
      <c r="A79" s="617"/>
      <c r="B79" s="632"/>
      <c r="C79" s="632"/>
      <c r="D79" s="719"/>
      <c r="E79" s="3455"/>
      <c r="F79" s="730"/>
      <c r="G79" s="731"/>
      <c r="H79" s="719"/>
      <c r="I79" s="732"/>
      <c r="J79" s="719"/>
      <c r="K79" s="719"/>
      <c r="L79" s="719"/>
      <c r="M79" s="719"/>
      <c r="N79" s="734"/>
      <c r="O79" s="746"/>
      <c r="P79" s="742"/>
      <c r="Q79" s="743"/>
      <c r="R79" s="744"/>
      <c r="S79" s="745"/>
    </row>
    <row r="80" spans="1:19" ht="15" hidden="1" customHeight="1">
      <c r="A80" s="617"/>
      <c r="B80" s="632"/>
      <c r="C80" s="632"/>
      <c r="D80" s="725"/>
      <c r="E80" s="3455"/>
      <c r="F80" s="740"/>
      <c r="G80" s="731"/>
      <c r="H80" s="719"/>
      <c r="I80" s="732"/>
      <c r="J80" s="719"/>
      <c r="K80" s="719"/>
      <c r="L80" s="719"/>
      <c r="M80" s="719"/>
      <c r="N80" s="734"/>
      <c r="O80" s="741"/>
      <c r="P80" s="742"/>
      <c r="Q80" s="743"/>
      <c r="R80" s="744"/>
      <c r="S80" s="745"/>
    </row>
    <row r="81" spans="1:19" ht="15" hidden="1" customHeight="1">
      <c r="A81" s="617"/>
      <c r="B81" s="632"/>
      <c r="C81" s="632"/>
      <c r="D81" s="725"/>
      <c r="E81" s="3455"/>
      <c r="F81" s="747"/>
      <c r="G81" s="572"/>
      <c r="H81" s="748"/>
      <c r="I81" s="749"/>
      <c r="J81" s="748"/>
      <c r="K81" s="750"/>
      <c r="L81" s="748"/>
      <c r="M81" s="748"/>
      <c r="N81" s="751"/>
      <c r="O81" s="752"/>
      <c r="P81" s="742"/>
      <c r="Q81" s="743"/>
      <c r="R81" s="744"/>
      <c r="S81" s="745"/>
    </row>
    <row r="82" spans="1:19" ht="15" hidden="1" customHeight="1">
      <c r="A82" s="617"/>
      <c r="B82" s="632"/>
      <c r="C82" s="632"/>
      <c r="D82" s="725"/>
      <c r="E82" s="3455"/>
      <c r="F82" s="747"/>
      <c r="G82" s="572"/>
      <c r="H82" s="748"/>
      <c r="I82" s="749"/>
      <c r="J82" s="748"/>
      <c r="K82" s="750"/>
      <c r="L82" s="748"/>
      <c r="M82" s="748"/>
      <c r="N82" s="751"/>
      <c r="O82" s="753"/>
      <c r="P82" s="742"/>
      <c r="Q82" s="743"/>
      <c r="R82" s="744"/>
      <c r="S82" s="745"/>
    </row>
    <row r="83" spans="1:19" ht="15" hidden="1" customHeight="1">
      <c r="A83" s="617"/>
      <c r="B83" s="632"/>
      <c r="C83" s="632"/>
      <c r="D83" s="725"/>
      <c r="E83" s="3455"/>
      <c r="F83" s="747"/>
      <c r="G83" s="572"/>
      <c r="H83" s="748"/>
      <c r="I83" s="749"/>
      <c r="J83" s="748"/>
      <c r="K83" s="750"/>
      <c r="L83" s="748"/>
      <c r="M83" s="748"/>
      <c r="N83" s="751"/>
      <c r="O83" s="752"/>
      <c r="P83" s="742"/>
      <c r="Q83" s="743"/>
      <c r="R83" s="744"/>
      <c r="S83" s="745"/>
    </row>
    <row r="84" spans="1:19" ht="15" hidden="1" customHeight="1">
      <c r="A84" s="617"/>
      <c r="B84" s="632"/>
      <c r="C84" s="632"/>
      <c r="D84" s="725"/>
      <c r="E84" s="3455"/>
      <c r="F84" s="754"/>
      <c r="G84" s="572"/>
      <c r="H84" s="748"/>
      <c r="I84" s="749"/>
      <c r="J84" s="755"/>
      <c r="K84" s="756"/>
      <c r="L84" s="755"/>
      <c r="M84" s="755"/>
      <c r="N84" s="757"/>
      <c r="O84" s="758"/>
      <c r="P84" s="742"/>
      <c r="Q84" s="743"/>
      <c r="R84" s="744"/>
      <c r="S84" s="745"/>
    </row>
    <row r="85" spans="1:19" ht="15" customHeight="1">
      <c r="A85" s="617"/>
      <c r="B85" s="632"/>
      <c r="C85" s="632"/>
      <c r="D85" s="726"/>
      <c r="E85" s="3637" t="s">
        <v>170</v>
      </c>
      <c r="F85" s="3638"/>
      <c r="G85" s="3638"/>
      <c r="H85" s="3638"/>
      <c r="I85" s="3638"/>
      <c r="J85" s="3638"/>
      <c r="K85" s="3638"/>
      <c r="L85" s="3638"/>
      <c r="M85" s="3638"/>
      <c r="N85" s="3638"/>
      <c r="O85" s="3639"/>
      <c r="P85" s="645">
        <v>0</v>
      </c>
      <c r="Q85" s="645">
        <v>0</v>
      </c>
      <c r="R85" s="646">
        <f>+P85-Q85</f>
        <v>0</v>
      </c>
      <c r="S85" s="647"/>
    </row>
    <row r="86" spans="1:19" s="14" customFormat="1" ht="15" customHeight="1">
      <c r="A86" s="617"/>
      <c r="B86" s="632"/>
      <c r="C86" s="632"/>
      <c r="D86" s="715" t="s">
        <v>171</v>
      </c>
      <c r="E86" s="3288"/>
      <c r="F86" s="716"/>
      <c r="G86" s="717"/>
      <c r="H86" s="716"/>
      <c r="I86" s="716"/>
      <c r="J86" s="716"/>
      <c r="K86" s="716"/>
      <c r="L86" s="716"/>
      <c r="M86" s="716"/>
      <c r="N86" s="718"/>
      <c r="O86" s="717"/>
      <c r="P86" s="685">
        <f>P87</f>
        <v>318913000</v>
      </c>
      <c r="Q86" s="685">
        <f>+Q87</f>
        <v>861000000</v>
      </c>
      <c r="R86" s="639">
        <f>+P86-Q86</f>
        <v>-542087000</v>
      </c>
      <c r="S86" s="640">
        <f>+R86/Q86</f>
        <v>-0.62960162601626013</v>
      </c>
    </row>
    <row r="87" spans="1:19" ht="15" customHeight="1">
      <c r="A87" s="617"/>
      <c r="B87" s="632"/>
      <c r="C87" s="632"/>
      <c r="D87" s="626"/>
      <c r="E87" s="3637" t="s">
        <v>172</v>
      </c>
      <c r="F87" s="3638"/>
      <c r="G87" s="3638"/>
      <c r="H87" s="3638"/>
      <c r="I87" s="3638"/>
      <c r="J87" s="3638"/>
      <c r="K87" s="3638"/>
      <c r="L87" s="3638"/>
      <c r="M87" s="3638"/>
      <c r="N87" s="3638"/>
      <c r="O87" s="3639"/>
      <c r="P87" s="645">
        <f>P88</f>
        <v>318913000</v>
      </c>
      <c r="Q87" s="645">
        <f>Q88</f>
        <v>861000000</v>
      </c>
      <c r="R87" s="646">
        <f>+P87-Q87</f>
        <v>-542087000</v>
      </c>
      <c r="S87" s="647">
        <f>+R87/Q87</f>
        <v>-0.62960162601626013</v>
      </c>
    </row>
    <row r="88" spans="1:19" ht="15" customHeight="1">
      <c r="A88" s="617"/>
      <c r="B88" s="632"/>
      <c r="C88" s="719"/>
      <c r="D88" s="632"/>
      <c r="E88" s="3454"/>
      <c r="F88" s="672" t="s">
        <v>923</v>
      </c>
      <c r="G88" s="677"/>
      <c r="H88" s="672"/>
      <c r="I88" s="672"/>
      <c r="J88" s="672"/>
      <c r="K88" s="672"/>
      <c r="L88" s="672"/>
      <c r="M88" s="672"/>
      <c r="N88" s="680"/>
      <c r="O88" s="760">
        <f>SUM(O89:O89)</f>
        <v>318913000</v>
      </c>
      <c r="P88" s="548">
        <f>O88</f>
        <v>318913000</v>
      </c>
      <c r="Q88" s="653">
        <v>861000000</v>
      </c>
      <c r="R88" s="654">
        <f>+P88-Q88</f>
        <v>-542087000</v>
      </c>
      <c r="S88" s="688">
        <f>+R88/Q88</f>
        <v>-0.62960162601626013</v>
      </c>
    </row>
    <row r="89" spans="1:19" ht="15" customHeight="1">
      <c r="A89" s="617"/>
      <c r="B89" s="703"/>
      <c r="C89" s="619"/>
      <c r="D89" s="703"/>
      <c r="E89" s="3456"/>
      <c r="F89" s="704" t="s">
        <v>173</v>
      </c>
      <c r="G89" s="761">
        <v>318913000</v>
      </c>
      <c r="H89" s="620" t="s">
        <v>125</v>
      </c>
      <c r="I89" s="762">
        <v>1</v>
      </c>
      <c r="J89" s="620"/>
      <c r="K89" s="763"/>
      <c r="L89" s="620"/>
      <c r="M89" s="620"/>
      <c r="N89" s="622" t="s">
        <v>154</v>
      </c>
      <c r="O89" s="621">
        <f>G89</f>
        <v>318913000</v>
      </c>
      <c r="P89" s="623"/>
      <c r="Q89" s="623"/>
      <c r="R89" s="624"/>
      <c r="S89" s="625"/>
    </row>
    <row r="90" spans="1:19" s="14" customFormat="1" ht="15" customHeight="1">
      <c r="A90" s="617"/>
      <c r="B90" s="723" t="s">
        <v>174</v>
      </c>
      <c r="C90" s="627"/>
      <c r="D90" s="627"/>
      <c r="E90" s="3420"/>
      <c r="F90" s="628"/>
      <c r="G90" s="629"/>
      <c r="H90" s="628"/>
      <c r="I90" s="628"/>
      <c r="J90" s="628"/>
      <c r="K90" s="628"/>
      <c r="L90" s="628"/>
      <c r="M90" s="628"/>
      <c r="N90" s="630"/>
      <c r="O90" s="629"/>
      <c r="P90" s="631">
        <f>P91</f>
        <v>50000000</v>
      </c>
      <c r="Q90" s="631">
        <f>+Q91</f>
        <v>102724000</v>
      </c>
      <c r="R90" s="764">
        <f>+P90-Q90</f>
        <v>-52724000</v>
      </c>
      <c r="S90" s="765">
        <f>+R90/Q90</f>
        <v>-0.51325882948483315</v>
      </c>
    </row>
    <row r="91" spans="1:19" ht="15" customHeight="1">
      <c r="A91" s="617"/>
      <c r="B91" s="632"/>
      <c r="C91" s="3657" t="s">
        <v>175</v>
      </c>
      <c r="D91" s="3658"/>
      <c r="E91" s="3658"/>
      <c r="F91" s="3658"/>
      <c r="G91" s="3658"/>
      <c r="H91" s="3658"/>
      <c r="I91" s="3658"/>
      <c r="J91" s="3658"/>
      <c r="K91" s="3658"/>
      <c r="L91" s="3658"/>
      <c r="M91" s="3658"/>
      <c r="N91" s="3658"/>
      <c r="O91" s="3659"/>
      <c r="P91" s="631">
        <f>P92</f>
        <v>50000000</v>
      </c>
      <c r="Q91" s="631">
        <f>+Q92</f>
        <v>102724000</v>
      </c>
      <c r="R91" s="764">
        <f>+P91-Q91</f>
        <v>-52724000</v>
      </c>
      <c r="S91" s="765">
        <f>+R91/Q91</f>
        <v>-0.51325882948483315</v>
      </c>
    </row>
    <row r="92" spans="1:19" ht="15" customHeight="1">
      <c r="A92" s="617"/>
      <c r="B92" s="632"/>
      <c r="C92" s="725"/>
      <c r="D92" s="715" t="s">
        <v>176</v>
      </c>
      <c r="E92" s="3288"/>
      <c r="F92" s="716"/>
      <c r="G92" s="717"/>
      <c r="H92" s="716"/>
      <c r="I92" s="716"/>
      <c r="J92" s="716"/>
      <c r="K92" s="716"/>
      <c r="L92" s="716"/>
      <c r="M92" s="716"/>
      <c r="N92" s="718"/>
      <c r="O92" s="717"/>
      <c r="P92" s="685">
        <f>SUM(P93)</f>
        <v>50000000</v>
      </c>
      <c r="Q92" s="685">
        <f>+Q93</f>
        <v>102724000</v>
      </c>
      <c r="R92" s="639">
        <f>+P92-Q92</f>
        <v>-52724000</v>
      </c>
      <c r="S92" s="640">
        <f>+R92/Q92</f>
        <v>-0.51325882948483315</v>
      </c>
    </row>
    <row r="93" spans="1:19" ht="15" customHeight="1">
      <c r="A93" s="617"/>
      <c r="B93" s="632"/>
      <c r="C93" s="725"/>
      <c r="D93" s="626"/>
      <c r="E93" s="3637" t="s">
        <v>177</v>
      </c>
      <c r="F93" s="3638"/>
      <c r="G93" s="3638"/>
      <c r="H93" s="3638"/>
      <c r="I93" s="3638"/>
      <c r="J93" s="3638"/>
      <c r="K93" s="3638"/>
      <c r="L93" s="3638"/>
      <c r="M93" s="3638"/>
      <c r="N93" s="3638"/>
      <c r="O93" s="3639"/>
      <c r="P93" s="645">
        <f>O94</f>
        <v>50000000</v>
      </c>
      <c r="Q93" s="645">
        <v>102724000</v>
      </c>
      <c r="R93" s="646">
        <f>+P93-Q93</f>
        <v>-52724000</v>
      </c>
      <c r="S93" s="647">
        <f>+R93/Q93</f>
        <v>-0.51325882948483315</v>
      </c>
    </row>
    <row r="94" spans="1:19" ht="15" customHeight="1">
      <c r="A94" s="617"/>
      <c r="B94" s="632"/>
      <c r="C94" s="719"/>
      <c r="D94" s="632"/>
      <c r="E94" s="3442"/>
      <c r="F94" s="649" t="s">
        <v>31</v>
      </c>
      <c r="G94" s="686"/>
      <c r="H94" s="679"/>
      <c r="I94" s="679"/>
      <c r="J94" s="679"/>
      <c r="K94" s="679"/>
      <c r="L94" s="679"/>
      <c r="M94" s="679"/>
      <c r="N94" s="687"/>
      <c r="O94" s="681">
        <f>SUM(O95)</f>
        <v>50000000</v>
      </c>
      <c r="P94" s="653">
        <f>P93</f>
        <v>50000000</v>
      </c>
      <c r="Q94" s="653">
        <f>Q93</f>
        <v>102724000</v>
      </c>
      <c r="R94" s="654">
        <f>+P94-Q94</f>
        <v>-52724000</v>
      </c>
      <c r="S94" s="688">
        <f>+R94/Q94</f>
        <v>-0.51325882948483315</v>
      </c>
    </row>
    <row r="95" spans="1:19" ht="15" customHeight="1" thickBot="1">
      <c r="A95" s="766"/>
      <c r="B95" s="767"/>
      <c r="C95" s="600"/>
      <c r="D95" s="767"/>
      <c r="E95" s="3457"/>
      <c r="F95" s="768" t="s">
        <v>857</v>
      </c>
      <c r="G95" s="769">
        <v>50000000</v>
      </c>
      <c r="H95" s="599" t="s">
        <v>153</v>
      </c>
      <c r="I95" s="770">
        <v>1</v>
      </c>
      <c r="J95" s="599"/>
      <c r="K95" s="771"/>
      <c r="L95" s="599"/>
      <c r="M95" s="599"/>
      <c r="N95" s="602" t="s">
        <v>154</v>
      </c>
      <c r="O95" s="601">
        <f>G95*I95</f>
        <v>50000000</v>
      </c>
      <c r="P95" s="772"/>
      <c r="Q95" s="772"/>
      <c r="R95" s="773"/>
      <c r="S95" s="774"/>
    </row>
    <row r="96" spans="1:1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</sheetData>
  <mergeCells count="21">
    <mergeCell ref="A1:S1"/>
    <mergeCell ref="R2:S2"/>
    <mergeCell ref="A3:E3"/>
    <mergeCell ref="G3:O4"/>
    <mergeCell ref="P3:P4"/>
    <mergeCell ref="Q3:Q4"/>
    <mergeCell ref="R3:R4"/>
    <mergeCell ref="S3:S4"/>
    <mergeCell ref="E93:O93"/>
    <mergeCell ref="C91:O91"/>
    <mergeCell ref="E9:O9"/>
    <mergeCell ref="E51:O51"/>
    <mergeCell ref="E58:O58"/>
    <mergeCell ref="E61:O61"/>
    <mergeCell ref="E67:O67"/>
    <mergeCell ref="C70:O70"/>
    <mergeCell ref="C7:O7"/>
    <mergeCell ref="E72:O72"/>
    <mergeCell ref="E76:O76"/>
    <mergeCell ref="E85:O85"/>
    <mergeCell ref="E87:O8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landscape" r:id="rId1"/>
  <headerFooter scaleWithDoc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99FF"/>
    <pageSetUpPr fitToPage="1"/>
  </sheetPr>
  <dimension ref="A1:T108"/>
  <sheetViews>
    <sheetView view="pageBreakPreview" zoomScaleNormal="85" zoomScaleSheetLayoutView="100" workbookViewId="0">
      <pane xSplit="3" ySplit="6" topLeftCell="D7" activePane="bottomRight" state="frozen"/>
      <selection activeCell="O40" sqref="O39:O40"/>
      <selection pane="topRight" activeCell="O40" sqref="O39:O40"/>
      <selection pane="bottomLeft" activeCell="O40" sqref="O39:O40"/>
      <selection pane="bottomRight" activeCell="V29" sqref="V29"/>
    </sheetView>
  </sheetViews>
  <sheetFormatPr defaultColWidth="9" defaultRowHeight="13.5"/>
  <cols>
    <col min="1" max="1" width="3.625" style="13" customWidth="1"/>
    <col min="2" max="4" width="3.625" style="50" customWidth="1"/>
    <col min="5" max="5" width="10.625" style="3448" customWidth="1"/>
    <col min="6" max="6" width="24.75" style="13" customWidth="1"/>
    <col min="7" max="7" width="13.25" style="51" bestFit="1" customWidth="1"/>
    <col min="8" max="8" width="2.125" style="13" customWidth="1"/>
    <col min="9" max="9" width="5.75" style="13" bestFit="1" customWidth="1"/>
    <col min="10" max="10" width="2.125" style="13" customWidth="1"/>
    <col min="11" max="11" width="9.75" style="13" customWidth="1"/>
    <col min="12" max="12" width="2.75" style="13" customWidth="1"/>
    <col min="13" max="13" width="9.75" style="13" customWidth="1"/>
    <col min="14" max="14" width="2.625" style="52" customWidth="1"/>
    <col min="15" max="15" width="12.625" style="13" customWidth="1"/>
    <col min="16" max="16" width="10.625" style="53" customWidth="1"/>
    <col min="17" max="18" width="10.625" style="54" customWidth="1"/>
    <col min="19" max="19" width="10.625" style="59" customWidth="1"/>
    <col min="20" max="20" width="11.625" style="13" bestFit="1" customWidth="1"/>
    <col min="21" max="16384" width="9" style="13"/>
  </cols>
  <sheetData>
    <row r="1" spans="1:20" s="49" customFormat="1" ht="35.1" customHeight="1">
      <c r="A1" s="3679" t="s">
        <v>2085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</row>
    <row r="2" spans="1:20" ht="15" customHeight="1" thickBot="1">
      <c r="A2" s="128" t="s">
        <v>226</v>
      </c>
      <c r="B2" s="839"/>
      <c r="C2" s="839"/>
      <c r="D2" s="839"/>
      <c r="E2" s="845"/>
      <c r="F2" s="128"/>
      <c r="G2" s="840"/>
      <c r="H2" s="128"/>
      <c r="I2" s="128"/>
      <c r="J2" s="128"/>
      <c r="K2" s="128"/>
      <c r="L2" s="128"/>
      <c r="M2" s="128"/>
      <c r="N2" s="841"/>
      <c r="O2" s="128"/>
      <c r="P2" s="842"/>
      <c r="Q2" s="843"/>
      <c r="R2" s="3680" t="s">
        <v>227</v>
      </c>
      <c r="S2" s="3680"/>
    </row>
    <row r="3" spans="1:20" s="55" customFormat="1" ht="15" customHeight="1">
      <c r="A3" s="3662" t="s">
        <v>228</v>
      </c>
      <c r="B3" s="3663"/>
      <c r="C3" s="3663"/>
      <c r="D3" s="3663"/>
      <c r="E3" s="3663"/>
      <c r="F3" s="605"/>
      <c r="G3" s="3664" t="s">
        <v>229</v>
      </c>
      <c r="H3" s="3664"/>
      <c r="I3" s="3664"/>
      <c r="J3" s="3664"/>
      <c r="K3" s="3664"/>
      <c r="L3" s="3664"/>
      <c r="M3" s="3664"/>
      <c r="N3" s="3664"/>
      <c r="O3" s="3665"/>
      <c r="P3" s="3668" t="s">
        <v>4</v>
      </c>
      <c r="Q3" s="3670" t="s">
        <v>326</v>
      </c>
      <c r="R3" s="3681" t="s">
        <v>5</v>
      </c>
      <c r="S3" s="3683" t="s">
        <v>6</v>
      </c>
    </row>
    <row r="4" spans="1:20" s="55" customFormat="1" ht="15" customHeight="1" thickBot="1">
      <c r="A4" s="606" t="s">
        <v>230</v>
      </c>
      <c r="B4" s="607" t="s">
        <v>231</v>
      </c>
      <c r="C4" s="607" t="s">
        <v>232</v>
      </c>
      <c r="D4" s="607" t="s">
        <v>233</v>
      </c>
      <c r="E4" s="607" t="s">
        <v>234</v>
      </c>
      <c r="F4" s="608" t="s">
        <v>235</v>
      </c>
      <c r="G4" s="3666"/>
      <c r="H4" s="3666"/>
      <c r="I4" s="3666"/>
      <c r="J4" s="3666"/>
      <c r="K4" s="3666"/>
      <c r="L4" s="3666"/>
      <c r="M4" s="3666"/>
      <c r="N4" s="3666"/>
      <c r="O4" s="3667"/>
      <c r="P4" s="3669"/>
      <c r="Q4" s="3671"/>
      <c r="R4" s="3682"/>
      <c r="S4" s="3684"/>
    </row>
    <row r="5" spans="1:20" s="49" customFormat="1" ht="15" customHeight="1" thickBot="1">
      <c r="A5" s="609" t="s">
        <v>236</v>
      </c>
      <c r="B5" s="610"/>
      <c r="C5" s="611"/>
      <c r="D5" s="611"/>
      <c r="E5" s="611"/>
      <c r="F5" s="611"/>
      <c r="G5" s="612"/>
      <c r="H5" s="611"/>
      <c r="I5" s="611"/>
      <c r="J5" s="611"/>
      <c r="K5" s="611"/>
      <c r="L5" s="611"/>
      <c r="M5" s="611"/>
      <c r="N5" s="613"/>
      <c r="O5" s="611"/>
      <c r="P5" s="614">
        <f>P6+P30</f>
        <v>61498000</v>
      </c>
      <c r="Q5" s="614">
        <f>Q6+Q30</f>
        <v>656844000</v>
      </c>
      <c r="R5" s="615">
        <f>+P5-Q5</f>
        <v>-595346000</v>
      </c>
      <c r="S5" s="777">
        <f>+R5/Q5</f>
        <v>-0.90637350725590859</v>
      </c>
      <c r="T5" s="56"/>
    </row>
    <row r="6" spans="1:20" s="49" customFormat="1" ht="15" customHeight="1">
      <c r="A6" s="778"/>
      <c r="B6" s="779" t="s">
        <v>237</v>
      </c>
      <c r="C6" s="780"/>
      <c r="D6" s="780"/>
      <c r="E6" s="780"/>
      <c r="F6" s="780"/>
      <c r="G6" s="781"/>
      <c r="H6" s="780"/>
      <c r="I6" s="780"/>
      <c r="J6" s="780"/>
      <c r="K6" s="780"/>
      <c r="L6" s="780"/>
      <c r="M6" s="780"/>
      <c r="N6" s="782"/>
      <c r="O6" s="780"/>
      <c r="P6" s="783">
        <f>P7</f>
        <v>61498000</v>
      </c>
      <c r="Q6" s="783">
        <f>Q7</f>
        <v>655528000</v>
      </c>
      <c r="R6" s="784">
        <f t="shared" ref="R6:R9" si="0">+P6-Q6</f>
        <v>-594030000</v>
      </c>
      <c r="S6" s="785">
        <f t="shared" ref="S6:S9" si="1">+R6/Q6</f>
        <v>-0.90618554813829466</v>
      </c>
      <c r="T6" s="49">
        <v>61498000</v>
      </c>
    </row>
    <row r="7" spans="1:20" s="49" customFormat="1" ht="15" customHeight="1">
      <c r="A7" s="778"/>
      <c r="B7" s="786"/>
      <c r="C7" s="3657" t="s">
        <v>3180</v>
      </c>
      <c r="D7" s="3658"/>
      <c r="E7" s="3658"/>
      <c r="F7" s="3658"/>
      <c r="G7" s="3658"/>
      <c r="H7" s="3658"/>
      <c r="I7" s="3658"/>
      <c r="J7" s="3658"/>
      <c r="K7" s="3658"/>
      <c r="L7" s="3658"/>
      <c r="M7" s="3658"/>
      <c r="N7" s="3658"/>
      <c r="O7" s="3659"/>
      <c r="P7" s="791">
        <f>SUM(P8,P26,P12)</f>
        <v>61498000</v>
      </c>
      <c r="Q7" s="791">
        <f>SUM(Q8,Q26,Q12)</f>
        <v>655528000</v>
      </c>
      <c r="R7" s="784">
        <f t="shared" si="0"/>
        <v>-594030000</v>
      </c>
      <c r="S7" s="785">
        <f t="shared" si="1"/>
        <v>-0.90618554813829466</v>
      </c>
    </row>
    <row r="8" spans="1:20" s="49" customFormat="1" ht="15" customHeight="1">
      <c r="A8" s="778"/>
      <c r="B8" s="786"/>
      <c r="C8" s="792"/>
      <c r="D8" s="684" t="s">
        <v>238</v>
      </c>
      <c r="E8" s="2229"/>
      <c r="F8" s="635"/>
      <c r="G8" s="636"/>
      <c r="H8" s="635"/>
      <c r="I8" s="635"/>
      <c r="J8" s="635"/>
      <c r="K8" s="635"/>
      <c r="L8" s="635"/>
      <c r="M8" s="635"/>
      <c r="N8" s="637"/>
      <c r="O8" s="635"/>
      <c r="P8" s="638">
        <f>P9</f>
        <v>240000</v>
      </c>
      <c r="Q8" s="638">
        <f>Q9</f>
        <v>240000</v>
      </c>
      <c r="R8" s="793">
        <f t="shared" si="0"/>
        <v>0</v>
      </c>
      <c r="S8" s="794">
        <f t="shared" si="1"/>
        <v>0</v>
      </c>
      <c r="T8" s="56">
        <f>P5-T6</f>
        <v>0</v>
      </c>
    </row>
    <row r="9" spans="1:20" s="49" customFormat="1" ht="15" customHeight="1">
      <c r="A9" s="778"/>
      <c r="B9" s="786"/>
      <c r="C9" s="792"/>
      <c r="D9" s="844"/>
      <c r="E9" s="3637" t="s">
        <v>239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645">
        <f>ROUNDUP(O10,-3)</f>
        <v>240000</v>
      </c>
      <c r="Q9" s="645">
        <v>240000</v>
      </c>
      <c r="R9" s="646">
        <f t="shared" si="0"/>
        <v>0</v>
      </c>
      <c r="S9" s="798">
        <f t="shared" si="1"/>
        <v>0</v>
      </c>
    </row>
    <row r="10" spans="1:20" s="49" customFormat="1" ht="15" customHeight="1">
      <c r="A10" s="778"/>
      <c r="B10" s="786"/>
      <c r="C10" s="792"/>
      <c r="D10" s="786"/>
      <c r="E10" s="3410"/>
      <c r="F10" s="799" t="s">
        <v>929</v>
      </c>
      <c r="G10" s="800"/>
      <c r="H10" s="799"/>
      <c r="I10" s="799"/>
      <c r="J10" s="799"/>
      <c r="K10" s="799"/>
      <c r="L10" s="799"/>
      <c r="M10" s="799"/>
      <c r="N10" s="801"/>
      <c r="O10" s="802">
        <f>SUM(O11:O11)</f>
        <v>240000</v>
      </c>
      <c r="P10" s="548">
        <f>O10</f>
        <v>240000</v>
      </c>
      <c r="Q10" s="803">
        <f>Q9</f>
        <v>240000</v>
      </c>
      <c r="R10" s="804">
        <f t="shared" ref="R10" si="2">+P10-Q10</f>
        <v>0</v>
      </c>
      <c r="S10" s="805">
        <f t="shared" ref="S10" si="3">+R10/Q10</f>
        <v>0</v>
      </c>
      <c r="T10" s="225">
        <f>G29-T8</f>
        <v>61258000</v>
      </c>
    </row>
    <row r="11" spans="1:20" s="49" customFormat="1" ht="15" customHeight="1">
      <c r="A11" s="778"/>
      <c r="B11" s="786"/>
      <c r="C11" s="792"/>
      <c r="D11" s="846"/>
      <c r="E11" s="3412"/>
      <c r="F11" s="848" t="s">
        <v>930</v>
      </c>
      <c r="G11" s="849">
        <v>240000</v>
      </c>
      <c r="H11" s="850" t="s">
        <v>931</v>
      </c>
      <c r="I11" s="851">
        <v>1</v>
      </c>
      <c r="J11" s="850"/>
      <c r="K11" s="852"/>
      <c r="L11" s="850"/>
      <c r="M11" s="850"/>
      <c r="N11" s="853" t="s">
        <v>932</v>
      </c>
      <c r="O11" s="854">
        <f>G11*I11</f>
        <v>240000</v>
      </c>
      <c r="P11" s="806"/>
      <c r="Q11" s="807"/>
      <c r="R11" s="808"/>
      <c r="S11" s="809"/>
    </row>
    <row r="12" spans="1:20" s="49" customFormat="1" ht="15" customHeight="1">
      <c r="A12" s="778"/>
      <c r="B12" s="786"/>
      <c r="C12" s="792"/>
      <c r="D12" s="532" t="s">
        <v>23</v>
      </c>
      <c r="E12" s="2229"/>
      <c r="F12" s="635"/>
      <c r="G12" s="636"/>
      <c r="H12" s="635"/>
      <c r="I12" s="635"/>
      <c r="J12" s="635"/>
      <c r="K12" s="635"/>
      <c r="L12" s="635"/>
      <c r="M12" s="635"/>
      <c r="N12" s="637"/>
      <c r="O12" s="635"/>
      <c r="P12" s="638">
        <f>P13+P19</f>
        <v>0</v>
      </c>
      <c r="Q12" s="638">
        <f>Q13+Q19</f>
        <v>330300000</v>
      </c>
      <c r="R12" s="793">
        <f t="shared" ref="R12:R13" si="4">+P12-Q12</f>
        <v>-330300000</v>
      </c>
      <c r="S12" s="794">
        <f>+R12/Q12</f>
        <v>-1</v>
      </c>
    </row>
    <row r="13" spans="1:20" s="49" customFormat="1" ht="15" customHeight="1">
      <c r="A13" s="778"/>
      <c r="B13" s="786"/>
      <c r="C13" s="792"/>
      <c r="D13" s="844"/>
      <c r="E13" s="3637" t="s">
        <v>24</v>
      </c>
      <c r="F13" s="3638"/>
      <c r="G13" s="3638"/>
      <c r="H13" s="3638"/>
      <c r="I13" s="3638"/>
      <c r="J13" s="3638"/>
      <c r="K13" s="3638"/>
      <c r="L13" s="3638"/>
      <c r="M13" s="3638"/>
      <c r="N13" s="3638"/>
      <c r="O13" s="3639"/>
      <c r="P13" s="645">
        <f>ROUNDUP(O14+O16,-3)</f>
        <v>0</v>
      </c>
      <c r="Q13" s="645">
        <v>286300000</v>
      </c>
      <c r="R13" s="646">
        <f t="shared" si="4"/>
        <v>-286300000</v>
      </c>
      <c r="S13" s="798">
        <f>+R13/Q13</f>
        <v>-1</v>
      </c>
    </row>
    <row r="14" spans="1:20" s="49" customFormat="1" ht="15" hidden="1" customHeight="1">
      <c r="A14" s="778"/>
      <c r="B14" s="786"/>
      <c r="C14" s="792"/>
      <c r="D14" s="786"/>
      <c r="E14" s="897"/>
      <c r="F14" s="792"/>
      <c r="G14" s="810"/>
      <c r="H14" s="792"/>
      <c r="I14" s="792"/>
      <c r="J14" s="792"/>
      <c r="K14" s="792"/>
      <c r="L14" s="792"/>
      <c r="M14" s="792"/>
      <c r="N14" s="811"/>
      <c r="O14" s="812"/>
      <c r="P14" s="813"/>
      <c r="Q14" s="813"/>
      <c r="R14" s="814"/>
      <c r="S14" s="815"/>
    </row>
    <row r="15" spans="1:20" s="49" customFormat="1" ht="15" hidden="1" customHeight="1">
      <c r="A15" s="778"/>
      <c r="B15" s="786"/>
      <c r="C15" s="792"/>
      <c r="D15" s="786"/>
      <c r="E15" s="897"/>
      <c r="F15" s="792"/>
      <c r="G15" s="810"/>
      <c r="H15" s="792"/>
      <c r="I15" s="816"/>
      <c r="J15" s="792"/>
      <c r="K15" s="792"/>
      <c r="L15" s="792"/>
      <c r="M15" s="792"/>
      <c r="N15" s="817"/>
      <c r="O15" s="818"/>
      <c r="P15" s="813"/>
      <c r="Q15" s="813"/>
      <c r="R15" s="814"/>
      <c r="S15" s="815"/>
    </row>
    <row r="16" spans="1:20" s="49" customFormat="1" ht="15" hidden="1" customHeight="1">
      <c r="A16" s="778"/>
      <c r="B16" s="786"/>
      <c r="C16" s="792"/>
      <c r="D16" s="786"/>
      <c r="E16" s="897"/>
      <c r="F16" s="792"/>
      <c r="G16" s="810"/>
      <c r="H16" s="792"/>
      <c r="I16" s="792"/>
      <c r="J16" s="792"/>
      <c r="K16" s="792"/>
      <c r="L16" s="792"/>
      <c r="M16" s="792"/>
      <c r="N16" s="811"/>
      <c r="O16" s="812"/>
      <c r="P16" s="813"/>
      <c r="Q16" s="813"/>
      <c r="R16" s="814"/>
      <c r="S16" s="815"/>
    </row>
    <row r="17" spans="1:19" s="49" customFormat="1" ht="15" hidden="1" customHeight="1">
      <c r="A17" s="778"/>
      <c r="B17" s="786"/>
      <c r="C17" s="792"/>
      <c r="D17" s="786"/>
      <c r="E17" s="897"/>
      <c r="F17" s="792"/>
      <c r="G17" s="810"/>
      <c r="H17" s="792"/>
      <c r="I17" s="816"/>
      <c r="J17" s="792"/>
      <c r="K17" s="792"/>
      <c r="L17" s="792"/>
      <c r="M17" s="792"/>
      <c r="N17" s="817"/>
      <c r="O17" s="810"/>
      <c r="P17" s="813"/>
      <c r="Q17" s="813"/>
      <c r="R17" s="814"/>
      <c r="S17" s="815"/>
    </row>
    <row r="18" spans="1:19" s="49" customFormat="1" ht="15" hidden="1" customHeight="1">
      <c r="A18" s="778"/>
      <c r="B18" s="786"/>
      <c r="C18" s="792"/>
      <c r="D18" s="786"/>
      <c r="E18" s="897"/>
      <c r="F18" s="792"/>
      <c r="G18" s="810"/>
      <c r="H18" s="792"/>
      <c r="I18" s="819"/>
      <c r="J18" s="792"/>
      <c r="K18" s="792"/>
      <c r="L18" s="792"/>
      <c r="M18" s="792"/>
      <c r="N18" s="817"/>
      <c r="O18" s="810"/>
      <c r="P18" s="813"/>
      <c r="Q18" s="813"/>
      <c r="R18" s="814"/>
      <c r="S18" s="815"/>
    </row>
    <row r="19" spans="1:19" s="49" customFormat="1" ht="15" customHeight="1">
      <c r="A19" s="778"/>
      <c r="B19" s="786"/>
      <c r="C19" s="792"/>
      <c r="D19" s="786"/>
      <c r="E19" s="3637" t="s">
        <v>2338</v>
      </c>
      <c r="F19" s="3638"/>
      <c r="G19" s="3638"/>
      <c r="H19" s="3638"/>
      <c r="I19" s="3638"/>
      <c r="J19" s="3638"/>
      <c r="K19" s="3638"/>
      <c r="L19" s="3638"/>
      <c r="M19" s="3638"/>
      <c r="N19" s="3638"/>
      <c r="O19" s="3639"/>
      <c r="P19" s="645">
        <f>ROUNDUP(O20+O22+O24,-3)</f>
        <v>0</v>
      </c>
      <c r="Q19" s="645">
        <v>44000000</v>
      </c>
      <c r="R19" s="646">
        <f t="shared" ref="R19" si="5">+P19-Q19</f>
        <v>-44000000</v>
      </c>
      <c r="S19" s="798">
        <f>+R19/Q19</f>
        <v>-1</v>
      </c>
    </row>
    <row r="20" spans="1:19" s="49" customFormat="1" ht="15" hidden="1" customHeight="1">
      <c r="A20" s="778"/>
      <c r="B20" s="786"/>
      <c r="C20" s="792"/>
      <c r="D20" s="786"/>
      <c r="E20" s="897"/>
      <c r="F20" s="792"/>
      <c r="G20" s="810"/>
      <c r="H20" s="792"/>
      <c r="I20" s="792"/>
      <c r="J20" s="792"/>
      <c r="K20" s="792"/>
      <c r="L20" s="792"/>
      <c r="M20" s="792"/>
      <c r="N20" s="811"/>
      <c r="O20" s="812"/>
      <c r="P20" s="813"/>
      <c r="Q20" s="813"/>
      <c r="R20" s="814"/>
      <c r="S20" s="815"/>
    </row>
    <row r="21" spans="1:19" s="49" customFormat="1" ht="15" hidden="1" customHeight="1">
      <c r="A21" s="778"/>
      <c r="B21" s="786"/>
      <c r="C21" s="792"/>
      <c r="D21" s="786"/>
      <c r="E21" s="897"/>
      <c r="F21" s="792"/>
      <c r="G21" s="810"/>
      <c r="H21" s="792"/>
      <c r="I21" s="816"/>
      <c r="J21" s="792"/>
      <c r="K21" s="792"/>
      <c r="L21" s="792"/>
      <c r="M21" s="792"/>
      <c r="N21" s="817"/>
      <c r="O21" s="818"/>
      <c r="P21" s="813"/>
      <c r="Q21" s="813"/>
      <c r="R21" s="814"/>
      <c r="S21" s="815"/>
    </row>
    <row r="22" spans="1:19" s="49" customFormat="1" ht="15" hidden="1" customHeight="1">
      <c r="A22" s="778"/>
      <c r="B22" s="786"/>
      <c r="C22" s="792"/>
      <c r="D22" s="786"/>
      <c r="E22" s="897"/>
      <c r="F22" s="792"/>
      <c r="G22" s="810"/>
      <c r="H22" s="792"/>
      <c r="I22" s="792"/>
      <c r="J22" s="792"/>
      <c r="K22" s="792"/>
      <c r="L22" s="792"/>
      <c r="M22" s="792"/>
      <c r="N22" s="811"/>
      <c r="O22" s="812"/>
      <c r="P22" s="813"/>
      <c r="Q22" s="813"/>
      <c r="R22" s="814"/>
      <c r="S22" s="815"/>
    </row>
    <row r="23" spans="1:19" s="49" customFormat="1" ht="15" hidden="1" customHeight="1">
      <c r="A23" s="778"/>
      <c r="B23" s="786"/>
      <c r="C23" s="792"/>
      <c r="D23" s="786"/>
      <c r="E23" s="3412"/>
      <c r="F23" s="847"/>
      <c r="G23" s="855"/>
      <c r="H23" s="792"/>
      <c r="I23" s="816"/>
      <c r="J23" s="845"/>
      <c r="K23" s="856"/>
      <c r="L23" s="845"/>
      <c r="M23" s="845"/>
      <c r="N23" s="817"/>
      <c r="O23" s="857"/>
      <c r="P23" s="858"/>
      <c r="Q23" s="858"/>
      <c r="R23" s="859"/>
      <c r="S23" s="860"/>
    </row>
    <row r="24" spans="1:19" s="49" customFormat="1" ht="15" hidden="1" customHeight="1">
      <c r="A24" s="778"/>
      <c r="B24" s="786"/>
      <c r="C24" s="792"/>
      <c r="D24" s="786"/>
      <c r="E24" s="3412"/>
      <c r="F24" s="792"/>
      <c r="G24" s="855"/>
      <c r="H24" s="792"/>
      <c r="I24" s="816"/>
      <c r="J24" s="845"/>
      <c r="K24" s="856"/>
      <c r="L24" s="845"/>
      <c r="M24" s="845"/>
      <c r="N24" s="817"/>
      <c r="O24" s="812"/>
      <c r="P24" s="858"/>
      <c r="Q24" s="858"/>
      <c r="R24" s="859"/>
      <c r="S24" s="860"/>
    </row>
    <row r="25" spans="1:19" s="49" customFormat="1" ht="15" hidden="1" customHeight="1">
      <c r="A25" s="778"/>
      <c r="B25" s="786"/>
      <c r="C25" s="792"/>
      <c r="D25" s="786"/>
      <c r="E25" s="3412"/>
      <c r="F25" s="847"/>
      <c r="G25" s="855"/>
      <c r="H25" s="792"/>
      <c r="I25" s="816"/>
      <c r="J25" s="845"/>
      <c r="K25" s="856"/>
      <c r="L25" s="845"/>
      <c r="M25" s="845"/>
      <c r="N25" s="817"/>
      <c r="O25" s="857"/>
      <c r="P25" s="858"/>
      <c r="Q25" s="858"/>
      <c r="R25" s="859"/>
      <c r="S25" s="860"/>
    </row>
    <row r="26" spans="1:19" s="49" customFormat="1" ht="15" customHeight="1">
      <c r="A26" s="778"/>
      <c r="B26" s="786"/>
      <c r="C26" s="792"/>
      <c r="D26" s="684" t="s">
        <v>240</v>
      </c>
      <c r="E26" s="2229"/>
      <c r="F26" s="635"/>
      <c r="G26" s="636"/>
      <c r="H26" s="635"/>
      <c r="I26" s="635"/>
      <c r="J26" s="635"/>
      <c r="K26" s="635"/>
      <c r="L26" s="635"/>
      <c r="M26" s="635"/>
      <c r="N26" s="637"/>
      <c r="O26" s="635"/>
      <c r="P26" s="638">
        <f>P27</f>
        <v>61258000</v>
      </c>
      <c r="Q26" s="638">
        <f>Q27</f>
        <v>324988000</v>
      </c>
      <c r="R26" s="793">
        <f t="shared" ref="R26:R27" si="6">+P26-Q26</f>
        <v>-263730000</v>
      </c>
      <c r="S26" s="794">
        <f>+R26/Q26</f>
        <v>-0.81150688640811353</v>
      </c>
    </row>
    <row r="27" spans="1:19" ht="15" customHeight="1">
      <c r="A27" s="778"/>
      <c r="B27" s="786"/>
      <c r="C27" s="792"/>
      <c r="D27" s="844"/>
      <c r="E27" s="3637" t="s">
        <v>241</v>
      </c>
      <c r="F27" s="3638"/>
      <c r="G27" s="3638"/>
      <c r="H27" s="3638"/>
      <c r="I27" s="3638"/>
      <c r="J27" s="3638"/>
      <c r="K27" s="3638"/>
      <c r="L27" s="3638"/>
      <c r="M27" s="3638"/>
      <c r="N27" s="3638"/>
      <c r="O27" s="3639"/>
      <c r="P27" s="645">
        <f>O28</f>
        <v>61258000</v>
      </c>
      <c r="Q27" s="645">
        <v>324988000</v>
      </c>
      <c r="R27" s="646">
        <f t="shared" si="6"/>
        <v>-263730000</v>
      </c>
      <c r="S27" s="798">
        <f t="shared" ref="S27" si="7">+R27/Q27</f>
        <v>-0.81150688640811353</v>
      </c>
    </row>
    <row r="28" spans="1:19" ht="15" customHeight="1">
      <c r="A28" s="778"/>
      <c r="B28" s="786"/>
      <c r="C28" s="792"/>
      <c r="D28" s="786"/>
      <c r="E28" s="3413"/>
      <c r="F28" s="799" t="s">
        <v>933</v>
      </c>
      <c r="G28" s="800"/>
      <c r="H28" s="799"/>
      <c r="I28" s="799"/>
      <c r="J28" s="799"/>
      <c r="K28" s="799"/>
      <c r="L28" s="799"/>
      <c r="M28" s="799"/>
      <c r="N28" s="801"/>
      <c r="O28" s="802">
        <f>SUM(O29)</f>
        <v>61258000</v>
      </c>
      <c r="P28" s="548">
        <f>O28</f>
        <v>61258000</v>
      </c>
      <c r="Q28" s="803">
        <f>Q27</f>
        <v>324988000</v>
      </c>
      <c r="R28" s="804">
        <f t="shared" ref="R28" si="8">+P28-Q28</f>
        <v>-263730000</v>
      </c>
      <c r="S28" s="805">
        <f t="shared" ref="S28" si="9">+R28/Q28</f>
        <v>-0.81150688640811353</v>
      </c>
    </row>
    <row r="29" spans="1:19" ht="15" customHeight="1">
      <c r="A29" s="778"/>
      <c r="B29" s="786"/>
      <c r="C29" s="792"/>
      <c r="D29" s="786"/>
      <c r="E29" s="3437"/>
      <c r="F29" s="821" t="s">
        <v>934</v>
      </c>
      <c r="G29" s="822">
        <v>61258000</v>
      </c>
      <c r="H29" s="823" t="s">
        <v>912</v>
      </c>
      <c r="I29" s="824">
        <v>1</v>
      </c>
      <c r="J29" s="825"/>
      <c r="K29" s="826"/>
      <c r="L29" s="825"/>
      <c r="M29" s="825"/>
      <c r="N29" s="825" t="s">
        <v>32</v>
      </c>
      <c r="O29" s="827">
        <f>G29*I29</f>
        <v>61258000</v>
      </c>
      <c r="P29" s="828"/>
      <c r="Q29" s="829"/>
      <c r="R29" s="830"/>
      <c r="S29" s="809"/>
    </row>
    <row r="30" spans="1:19" s="14" customFormat="1" ht="15" customHeight="1">
      <c r="A30" s="617"/>
      <c r="B30" s="723" t="s">
        <v>242</v>
      </c>
      <c r="C30" s="627"/>
      <c r="D30" s="627"/>
      <c r="E30" s="3449"/>
      <c r="F30" s="620"/>
      <c r="G30" s="621"/>
      <c r="H30" s="620"/>
      <c r="I30" s="620"/>
      <c r="J30" s="620"/>
      <c r="K30" s="620"/>
      <c r="L30" s="620"/>
      <c r="M30" s="620"/>
      <c r="N30" s="622"/>
      <c r="O30" s="621"/>
      <c r="P30" s="623">
        <f>P31</f>
        <v>0</v>
      </c>
      <c r="Q30" s="623">
        <f>+Q31</f>
        <v>1316000</v>
      </c>
      <c r="R30" s="624">
        <f t="shared" ref="R30:R33" si="10">+P30-Q30</f>
        <v>-1316000</v>
      </c>
      <c r="S30" s="832">
        <f>+R30/Q30</f>
        <v>-1</v>
      </c>
    </row>
    <row r="31" spans="1:19" s="16" customFormat="1" ht="15" customHeight="1">
      <c r="A31" s="617"/>
      <c r="B31" s="632"/>
      <c r="C31" s="3657" t="s">
        <v>3179</v>
      </c>
      <c r="D31" s="3658"/>
      <c r="E31" s="3658"/>
      <c r="F31" s="3658"/>
      <c r="G31" s="3658"/>
      <c r="H31" s="3658"/>
      <c r="I31" s="3658"/>
      <c r="J31" s="3658"/>
      <c r="K31" s="3658"/>
      <c r="L31" s="3658"/>
      <c r="M31" s="3658"/>
      <c r="N31" s="3658"/>
      <c r="O31" s="3659"/>
      <c r="P31" s="631">
        <f>P32</f>
        <v>0</v>
      </c>
      <c r="Q31" s="631">
        <f>+Q32</f>
        <v>1316000</v>
      </c>
      <c r="R31" s="764">
        <f t="shared" si="10"/>
        <v>-1316000</v>
      </c>
      <c r="S31" s="832">
        <f>+R31/Q31</f>
        <v>-1</v>
      </c>
    </row>
    <row r="32" spans="1:19" s="16" customFormat="1" ht="15" customHeight="1">
      <c r="A32" s="617"/>
      <c r="B32" s="632"/>
      <c r="C32" s="725"/>
      <c r="D32" s="684" t="s">
        <v>243</v>
      </c>
      <c r="E32" s="2229"/>
      <c r="F32" s="635"/>
      <c r="G32" s="636"/>
      <c r="H32" s="635"/>
      <c r="I32" s="635"/>
      <c r="J32" s="635"/>
      <c r="K32" s="635"/>
      <c r="L32" s="635"/>
      <c r="M32" s="635"/>
      <c r="N32" s="637"/>
      <c r="O32" s="636"/>
      <c r="P32" s="638">
        <f>SUM(P33)</f>
        <v>0</v>
      </c>
      <c r="Q32" s="638">
        <f>+Q33</f>
        <v>1316000</v>
      </c>
      <c r="R32" s="793">
        <f t="shared" si="10"/>
        <v>-1316000</v>
      </c>
      <c r="S32" s="794">
        <f>+R32/Q32</f>
        <v>-1</v>
      </c>
    </row>
    <row r="33" spans="1:19" s="16" customFormat="1" ht="15" customHeight="1" thickBot="1">
      <c r="A33" s="766"/>
      <c r="B33" s="767"/>
      <c r="C33" s="861"/>
      <c r="D33" s="862"/>
      <c r="E33" s="3676" t="s">
        <v>244</v>
      </c>
      <c r="F33" s="3677"/>
      <c r="G33" s="3677"/>
      <c r="H33" s="3677"/>
      <c r="I33" s="3677"/>
      <c r="J33" s="3677"/>
      <c r="K33" s="3677"/>
      <c r="L33" s="3677"/>
      <c r="M33" s="3677"/>
      <c r="N33" s="3677"/>
      <c r="O33" s="3678"/>
      <c r="P33" s="835">
        <f>O34</f>
        <v>0</v>
      </c>
      <c r="Q33" s="835">
        <v>1316000</v>
      </c>
      <c r="R33" s="836">
        <f t="shared" si="10"/>
        <v>-1316000</v>
      </c>
      <c r="S33" s="837">
        <f>+R33/Q33</f>
        <v>-1</v>
      </c>
    </row>
    <row r="34" spans="1:19" s="16" customFormat="1" ht="15" hidden="1" customHeight="1">
      <c r="A34" s="23"/>
      <c r="B34" s="24"/>
      <c r="C34" s="25"/>
      <c r="D34" s="24"/>
      <c r="E34" s="3450"/>
      <c r="F34" s="26"/>
      <c r="G34" s="27"/>
      <c r="H34" s="26"/>
      <c r="I34" s="26"/>
      <c r="J34" s="26"/>
      <c r="K34" s="26"/>
      <c r="L34" s="26"/>
      <c r="M34" s="26"/>
      <c r="N34" s="28"/>
      <c r="O34" s="29"/>
      <c r="P34" s="30"/>
      <c r="Q34" s="31"/>
      <c r="R34" s="30"/>
      <c r="S34" s="32"/>
    </row>
    <row r="35" spans="1:19" s="16" customFormat="1" ht="15" hidden="1" customHeight="1" thickBot="1">
      <c r="A35" s="35"/>
      <c r="B35" s="36"/>
      <c r="C35" s="37"/>
      <c r="D35" s="36"/>
      <c r="E35" s="3451"/>
      <c r="F35" s="38"/>
      <c r="G35" s="39"/>
      <c r="H35" s="40"/>
      <c r="I35" s="41"/>
      <c r="J35" s="40"/>
      <c r="K35" s="42"/>
      <c r="L35" s="40"/>
      <c r="M35" s="40"/>
      <c r="N35" s="43"/>
      <c r="O35" s="44"/>
      <c r="P35" s="45"/>
      <c r="Q35" s="46"/>
      <c r="R35" s="45"/>
      <c r="S35" s="47"/>
    </row>
    <row r="36" spans="1:19" ht="15" customHeight="1">
      <c r="O36" s="49"/>
    </row>
    <row r="37" spans="1:19" ht="15" customHeight="1"/>
    <row r="38" spans="1:19" ht="15" customHeight="1"/>
    <row r="39" spans="1:19" ht="15" customHeight="1"/>
    <row r="40" spans="1:19" ht="15" customHeight="1">
      <c r="M40" s="48"/>
    </row>
    <row r="41" spans="1:19" ht="15" customHeight="1"/>
    <row r="42" spans="1:19" ht="15" customHeight="1"/>
    <row r="43" spans="1:19" ht="15" customHeight="1">
      <c r="K43" s="48"/>
    </row>
    <row r="44" spans="1:19" ht="15" customHeight="1"/>
    <row r="45" spans="1:19" ht="15" customHeight="1"/>
    <row r="46" spans="1:19" ht="15" customHeight="1">
      <c r="N46" s="3461"/>
    </row>
    <row r="47" spans="1:19" ht="15" customHeight="1"/>
    <row r="48" spans="1:19" ht="15" customHeight="1"/>
    <row r="49" spans="6:6" ht="15" customHeight="1"/>
    <row r="50" spans="6:6" ht="15" customHeight="1"/>
    <row r="51" spans="6:6" ht="12" customHeight="1">
      <c r="F51" s="57"/>
    </row>
    <row r="52" spans="6:6" ht="12" customHeight="1">
      <c r="F52" s="57"/>
    </row>
    <row r="53" spans="6:6" ht="12" customHeight="1"/>
    <row r="54" spans="6:6" ht="12" customHeight="1">
      <c r="F54" s="58"/>
    </row>
    <row r="55" spans="6:6" ht="12" customHeight="1"/>
    <row r="56" spans="6:6" ht="12" customHeight="1"/>
    <row r="57" spans="6:6" ht="12" customHeight="1"/>
    <row r="58" spans="6:6" ht="12" customHeight="1"/>
    <row r="59" spans="6:6" ht="12" customHeight="1"/>
    <row r="60" spans="6:6" ht="12" customHeight="1"/>
    <row r="61" spans="6:6" ht="12" customHeight="1"/>
    <row r="62" spans="6:6" ht="12" customHeight="1"/>
    <row r="63" spans="6:6" ht="12" customHeight="1"/>
    <row r="64" spans="6:6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</sheetData>
  <mergeCells count="15">
    <mergeCell ref="E33:O33"/>
    <mergeCell ref="C31:O31"/>
    <mergeCell ref="A1:S1"/>
    <mergeCell ref="R2:S2"/>
    <mergeCell ref="A3:E3"/>
    <mergeCell ref="G3:O4"/>
    <mergeCell ref="P3:P4"/>
    <mergeCell ref="Q3:Q4"/>
    <mergeCell ref="R3:R4"/>
    <mergeCell ref="S3:S4"/>
    <mergeCell ref="C7:O7"/>
    <mergeCell ref="E9:O9"/>
    <mergeCell ref="E13:O13"/>
    <mergeCell ref="E19:O19"/>
    <mergeCell ref="E27:O2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landscape" r:id="rId1"/>
  <headerFooter scaleWithDoc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99FF"/>
    <pageSetUpPr fitToPage="1"/>
  </sheetPr>
  <dimension ref="A1:V112"/>
  <sheetViews>
    <sheetView view="pageBreakPreview" zoomScale="85" zoomScaleNormal="86" zoomScaleSheetLayoutView="85" workbookViewId="0">
      <pane ySplit="6" topLeftCell="A7" activePane="bottomLeft" state="frozen"/>
      <selection activeCell="O40" sqref="O39:O40"/>
      <selection pane="bottomLeft" activeCell="X27" sqref="X27"/>
    </sheetView>
  </sheetViews>
  <sheetFormatPr defaultColWidth="9" defaultRowHeight="13.5"/>
  <cols>
    <col min="1" max="1" width="3.625" style="13" customWidth="1"/>
    <col min="2" max="4" width="3.625" style="50" customWidth="1"/>
    <col min="5" max="5" width="10.625" style="3448" customWidth="1"/>
    <col min="6" max="6" width="25.5" style="13" customWidth="1"/>
    <col min="7" max="7" width="14.5" style="51" bestFit="1" customWidth="1"/>
    <col min="8" max="8" width="2.125" style="13" customWidth="1"/>
    <col min="9" max="9" width="6" style="13" bestFit="1" customWidth="1"/>
    <col min="10" max="10" width="2.125" style="13" customWidth="1"/>
    <col min="11" max="11" width="5" style="13" bestFit="1" customWidth="1"/>
    <col min="12" max="12" width="2.75" style="13" customWidth="1"/>
    <col min="13" max="13" width="4.875" style="13" bestFit="1" customWidth="1"/>
    <col min="14" max="14" width="2.625" style="52" customWidth="1"/>
    <col min="15" max="15" width="12.625" style="13" customWidth="1"/>
    <col min="16" max="16" width="10.625" style="53" customWidth="1"/>
    <col min="17" max="17" width="10.625" style="54" customWidth="1"/>
    <col min="18" max="18" width="10.625" style="185" customWidth="1"/>
    <col min="19" max="19" width="10.625" style="221" customWidth="1"/>
    <col min="20" max="20" width="9" style="13"/>
    <col min="21" max="22" width="10.875" style="13" bestFit="1" customWidth="1"/>
    <col min="23" max="16384" width="9" style="13"/>
  </cols>
  <sheetData>
    <row r="1" spans="1:22" s="49" customFormat="1" ht="35.1" customHeight="1">
      <c r="A1" s="3679" t="s">
        <v>2086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</row>
    <row r="2" spans="1:22" ht="15" customHeight="1" thickBot="1">
      <c r="A2" s="128" t="s">
        <v>260</v>
      </c>
      <c r="B2" s="839"/>
      <c r="C2" s="839"/>
      <c r="D2" s="839"/>
      <c r="E2" s="845"/>
      <c r="F2" s="128"/>
      <c r="G2" s="840"/>
      <c r="H2" s="128"/>
      <c r="I2" s="128"/>
      <c r="J2" s="128"/>
      <c r="K2" s="128"/>
      <c r="L2" s="128"/>
      <c r="M2" s="128"/>
      <c r="N2" s="841"/>
      <c r="O2" s="128"/>
      <c r="P2" s="842"/>
      <c r="Q2" s="843"/>
      <c r="R2" s="3680" t="s">
        <v>261</v>
      </c>
      <c r="S2" s="3680"/>
    </row>
    <row r="3" spans="1:22" s="55" customFormat="1" ht="15" customHeight="1">
      <c r="A3" s="3662" t="s">
        <v>262</v>
      </c>
      <c r="B3" s="3663"/>
      <c r="C3" s="3663"/>
      <c r="D3" s="3663"/>
      <c r="E3" s="3663"/>
      <c r="F3" s="605"/>
      <c r="G3" s="3664" t="s">
        <v>263</v>
      </c>
      <c r="H3" s="3664"/>
      <c r="I3" s="3664"/>
      <c r="J3" s="3664"/>
      <c r="K3" s="3664"/>
      <c r="L3" s="3664"/>
      <c r="M3" s="3664"/>
      <c r="N3" s="3664"/>
      <c r="O3" s="3665"/>
      <c r="P3" s="3668" t="s">
        <v>4</v>
      </c>
      <c r="Q3" s="3688" t="s">
        <v>326</v>
      </c>
      <c r="R3" s="3672" t="s">
        <v>5</v>
      </c>
      <c r="S3" s="3674" t="s">
        <v>6</v>
      </c>
    </row>
    <row r="4" spans="1:22" s="55" customFormat="1" ht="15" customHeight="1" thickBot="1">
      <c r="A4" s="606" t="s">
        <v>264</v>
      </c>
      <c r="B4" s="607" t="s">
        <v>265</v>
      </c>
      <c r="C4" s="607" t="s">
        <v>266</v>
      </c>
      <c r="D4" s="607" t="s">
        <v>267</v>
      </c>
      <c r="E4" s="607" t="s">
        <v>268</v>
      </c>
      <c r="F4" s="608" t="s">
        <v>269</v>
      </c>
      <c r="G4" s="3666"/>
      <c r="H4" s="3666"/>
      <c r="I4" s="3666"/>
      <c r="J4" s="3666"/>
      <c r="K4" s="3666"/>
      <c r="L4" s="3666"/>
      <c r="M4" s="3666"/>
      <c r="N4" s="3666"/>
      <c r="O4" s="3667"/>
      <c r="P4" s="3669"/>
      <c r="Q4" s="3689"/>
      <c r="R4" s="3673"/>
      <c r="S4" s="3675"/>
    </row>
    <row r="5" spans="1:22" s="49" customFormat="1" ht="15" customHeight="1" thickBot="1">
      <c r="A5" s="609" t="s">
        <v>270</v>
      </c>
      <c r="B5" s="610"/>
      <c r="C5" s="611"/>
      <c r="D5" s="611"/>
      <c r="E5" s="611"/>
      <c r="F5" s="611"/>
      <c r="G5" s="612"/>
      <c r="H5" s="611"/>
      <c r="I5" s="611"/>
      <c r="J5" s="611"/>
      <c r="K5" s="611"/>
      <c r="L5" s="611"/>
      <c r="M5" s="611"/>
      <c r="N5" s="613"/>
      <c r="O5" s="611"/>
      <c r="P5" s="614">
        <f>P6+P35</f>
        <v>215312000</v>
      </c>
      <c r="Q5" s="614">
        <f>Q6+Q35</f>
        <v>587720000</v>
      </c>
      <c r="R5" s="615">
        <f t="shared" ref="R5:R10" si="0">+P5-Q5</f>
        <v>-372408000</v>
      </c>
      <c r="S5" s="616">
        <f>+R5/Q5</f>
        <v>-0.63364867624038657</v>
      </c>
    </row>
    <row r="6" spans="1:22" s="49" customFormat="1" ht="15" customHeight="1">
      <c r="A6" s="778"/>
      <c r="B6" s="3685" t="s">
        <v>149</v>
      </c>
      <c r="C6" s="3686"/>
      <c r="D6" s="3686"/>
      <c r="E6" s="3686"/>
      <c r="F6" s="3686"/>
      <c r="G6" s="3686"/>
      <c r="H6" s="3686"/>
      <c r="I6" s="3686"/>
      <c r="J6" s="3686"/>
      <c r="K6" s="3686"/>
      <c r="L6" s="3686"/>
      <c r="M6" s="3686"/>
      <c r="N6" s="3686"/>
      <c r="O6" s="3687"/>
      <c r="P6" s="866">
        <f>SUM(P7,P24)</f>
        <v>204282000</v>
      </c>
      <c r="Q6" s="866">
        <f>SUM(Q7,Q24)</f>
        <v>574082000</v>
      </c>
      <c r="R6" s="867">
        <f t="shared" si="0"/>
        <v>-369800000</v>
      </c>
      <c r="S6" s="868">
        <f>+R6/Q6</f>
        <v>-0.64415884838751258</v>
      </c>
    </row>
    <row r="7" spans="1:22" s="49" customFormat="1" ht="15" customHeight="1">
      <c r="A7" s="778"/>
      <c r="B7" s="844"/>
      <c r="C7" s="3657" t="s">
        <v>3181</v>
      </c>
      <c r="D7" s="3658"/>
      <c r="E7" s="3658"/>
      <c r="F7" s="3658"/>
      <c r="G7" s="3658"/>
      <c r="H7" s="3658"/>
      <c r="I7" s="3658"/>
      <c r="J7" s="3658"/>
      <c r="K7" s="3658"/>
      <c r="L7" s="3658"/>
      <c r="M7" s="3658"/>
      <c r="N7" s="3658"/>
      <c r="O7" s="3659"/>
      <c r="P7" s="872">
        <f>SUM(P8,P20)</f>
        <v>20100000</v>
      </c>
      <c r="Q7" s="872">
        <f>SUM(Q8,Q20)</f>
        <v>12690000</v>
      </c>
      <c r="R7" s="867">
        <f t="shared" si="0"/>
        <v>7410000</v>
      </c>
      <c r="S7" s="868">
        <f>+R7/Q7</f>
        <v>0.58392434988179664</v>
      </c>
    </row>
    <row r="8" spans="1:22" s="49" customFormat="1" ht="15" customHeight="1">
      <c r="A8" s="778"/>
      <c r="B8" s="786"/>
      <c r="C8" s="792"/>
      <c r="D8" s="684" t="s">
        <v>271</v>
      </c>
      <c r="E8" s="2229"/>
      <c r="F8" s="635"/>
      <c r="G8" s="636"/>
      <c r="H8" s="635"/>
      <c r="I8" s="635"/>
      <c r="J8" s="635"/>
      <c r="K8" s="635"/>
      <c r="L8" s="635"/>
      <c r="M8" s="635"/>
      <c r="N8" s="637"/>
      <c r="O8" s="635"/>
      <c r="P8" s="638">
        <f>P9</f>
        <v>18100000</v>
      </c>
      <c r="Q8" s="638">
        <f>Q9</f>
        <v>5250000</v>
      </c>
      <c r="R8" s="793">
        <f t="shared" si="0"/>
        <v>12850000</v>
      </c>
      <c r="S8" s="873">
        <f>+R8/Q8</f>
        <v>2.4476190476190478</v>
      </c>
    </row>
    <row r="9" spans="1:22" ht="15" customHeight="1">
      <c r="A9" s="778"/>
      <c r="B9" s="786"/>
      <c r="C9" s="792"/>
      <c r="D9" s="786"/>
      <c r="E9" s="3637" t="s">
        <v>272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645">
        <f>SUM(O10)</f>
        <v>18100000</v>
      </c>
      <c r="Q9" s="645">
        <v>5250000</v>
      </c>
      <c r="R9" s="646">
        <f t="shared" si="0"/>
        <v>12850000</v>
      </c>
      <c r="S9" s="647">
        <f t="shared" ref="S9" si="1">+R9/Q9</f>
        <v>2.4476190476190478</v>
      </c>
      <c r="V9" s="60"/>
    </row>
    <row r="10" spans="1:22" ht="15" customHeight="1">
      <c r="A10" s="778"/>
      <c r="B10" s="786"/>
      <c r="C10" s="792"/>
      <c r="D10" s="786"/>
      <c r="E10" s="3410"/>
      <c r="F10" s="679" t="s">
        <v>901</v>
      </c>
      <c r="G10" s="686"/>
      <c r="H10" s="679"/>
      <c r="I10" s="874"/>
      <c r="J10" s="679"/>
      <c r="K10" s="679"/>
      <c r="L10" s="679"/>
      <c r="M10" s="679"/>
      <c r="N10" s="687"/>
      <c r="O10" s="875">
        <f>SUM(O11:O19)</f>
        <v>18100000</v>
      </c>
      <c r="P10" s="653">
        <f>P9</f>
        <v>18100000</v>
      </c>
      <c r="Q10" s="653">
        <f>Q9</f>
        <v>5250000</v>
      </c>
      <c r="R10" s="654">
        <f t="shared" si="0"/>
        <v>12850000</v>
      </c>
      <c r="S10" s="688">
        <f t="shared" ref="S10" si="2">+R10/Q10</f>
        <v>2.4476190476190478</v>
      </c>
    </row>
    <row r="11" spans="1:22" ht="15" customHeight="1">
      <c r="A11" s="778"/>
      <c r="B11" s="786"/>
      <c r="C11" s="792"/>
      <c r="D11" s="786"/>
      <c r="E11" s="3410"/>
      <c r="F11" s="691" t="s">
        <v>902</v>
      </c>
      <c r="G11" s="702">
        <v>1000000</v>
      </c>
      <c r="H11" s="691" t="s">
        <v>21</v>
      </c>
      <c r="I11" s="876">
        <v>10</v>
      </c>
      <c r="J11" s="691"/>
      <c r="K11" s="877"/>
      <c r="L11" s="691"/>
      <c r="M11" s="691"/>
      <c r="N11" s="701" t="s">
        <v>22</v>
      </c>
      <c r="O11" s="702">
        <f>G11*I11</f>
        <v>10000000</v>
      </c>
      <c r="P11" s="694"/>
      <c r="Q11" s="694"/>
      <c r="R11" s="695"/>
      <c r="S11" s="696"/>
      <c r="U11" s="60"/>
    </row>
    <row r="12" spans="1:22" ht="15" customHeight="1">
      <c r="A12" s="778"/>
      <c r="B12" s="786"/>
      <c r="C12" s="792"/>
      <c r="D12" s="786"/>
      <c r="E12" s="3410"/>
      <c r="F12" s="691" t="s">
        <v>903</v>
      </c>
      <c r="G12" s="702">
        <v>30000</v>
      </c>
      <c r="H12" s="691" t="s">
        <v>21</v>
      </c>
      <c r="I12" s="876">
        <v>40</v>
      </c>
      <c r="J12" s="691"/>
      <c r="K12" s="877"/>
      <c r="L12" s="691"/>
      <c r="M12" s="691"/>
      <c r="N12" s="701" t="s">
        <v>22</v>
      </c>
      <c r="O12" s="702">
        <f>G12*I12</f>
        <v>1200000</v>
      </c>
      <c r="P12" s="694"/>
      <c r="Q12" s="694"/>
      <c r="R12" s="695"/>
      <c r="S12" s="696"/>
      <c r="V12" s="48"/>
    </row>
    <row r="13" spans="1:22" ht="15" customHeight="1">
      <c r="A13" s="778"/>
      <c r="B13" s="786"/>
      <c r="C13" s="792"/>
      <c r="D13" s="786"/>
      <c r="E13" s="3410"/>
      <c r="F13" s="691" t="s">
        <v>904</v>
      </c>
      <c r="G13" s="702">
        <v>10000</v>
      </c>
      <c r="H13" s="691" t="s">
        <v>21</v>
      </c>
      <c r="I13" s="876">
        <v>15</v>
      </c>
      <c r="J13" s="691" t="s">
        <v>21</v>
      </c>
      <c r="K13" s="877">
        <v>3</v>
      </c>
      <c r="L13" s="691"/>
      <c r="M13" s="691"/>
      <c r="N13" s="701" t="s">
        <v>22</v>
      </c>
      <c r="O13" s="702">
        <f>G13*I13*K13</f>
        <v>450000</v>
      </c>
      <c r="P13" s="694"/>
      <c r="Q13" s="694"/>
      <c r="R13" s="695"/>
      <c r="S13" s="696"/>
    </row>
    <row r="14" spans="1:22" ht="15" customHeight="1">
      <c r="A14" s="778"/>
      <c r="B14" s="786"/>
      <c r="C14" s="792"/>
      <c r="D14" s="786"/>
      <c r="E14" s="3410"/>
      <c r="F14" s="691" t="s">
        <v>905</v>
      </c>
      <c r="G14" s="702">
        <v>30000</v>
      </c>
      <c r="H14" s="691" t="s">
        <v>21</v>
      </c>
      <c r="I14" s="876">
        <v>25</v>
      </c>
      <c r="J14" s="691"/>
      <c r="K14" s="877"/>
      <c r="L14" s="691"/>
      <c r="M14" s="691"/>
      <c r="N14" s="701" t="s">
        <v>22</v>
      </c>
      <c r="O14" s="702">
        <f>G14*I14</f>
        <v>750000</v>
      </c>
      <c r="P14" s="694"/>
      <c r="Q14" s="694"/>
      <c r="R14" s="695"/>
      <c r="S14" s="696"/>
    </row>
    <row r="15" spans="1:22" ht="15" customHeight="1">
      <c r="A15" s="778"/>
      <c r="B15" s="786"/>
      <c r="C15" s="792"/>
      <c r="D15" s="786"/>
      <c r="E15" s="3410"/>
      <c r="F15" s="691" t="s">
        <v>906</v>
      </c>
      <c r="G15" s="702">
        <v>1200000</v>
      </c>
      <c r="H15" s="691" t="s">
        <v>21</v>
      </c>
      <c r="I15" s="878">
        <v>1</v>
      </c>
      <c r="J15" s="691"/>
      <c r="K15" s="877"/>
      <c r="L15" s="691"/>
      <c r="M15" s="691"/>
      <c r="N15" s="701" t="s">
        <v>22</v>
      </c>
      <c r="O15" s="702">
        <f>G15*I15</f>
        <v>1200000</v>
      </c>
      <c r="P15" s="694"/>
      <c r="Q15" s="694"/>
      <c r="R15" s="695"/>
      <c r="S15" s="696"/>
      <c r="U15" s="48"/>
    </row>
    <row r="16" spans="1:22" ht="15" customHeight="1">
      <c r="A16" s="778"/>
      <c r="B16" s="786"/>
      <c r="C16" s="792"/>
      <c r="D16" s="786"/>
      <c r="E16" s="3410"/>
      <c r="F16" s="691" t="s">
        <v>907</v>
      </c>
      <c r="G16" s="702">
        <v>30000</v>
      </c>
      <c r="H16" s="691" t="s">
        <v>21</v>
      </c>
      <c r="I16" s="876">
        <v>40</v>
      </c>
      <c r="J16" s="691"/>
      <c r="K16" s="877"/>
      <c r="L16" s="691"/>
      <c r="M16" s="691"/>
      <c r="N16" s="701" t="s">
        <v>22</v>
      </c>
      <c r="O16" s="702">
        <f>G16*I16</f>
        <v>1200000</v>
      </c>
      <c r="P16" s="694"/>
      <c r="Q16" s="694"/>
      <c r="R16" s="695"/>
      <c r="S16" s="696"/>
    </row>
    <row r="17" spans="1:22" ht="15" customHeight="1">
      <c r="A17" s="778"/>
      <c r="B17" s="786"/>
      <c r="C17" s="792"/>
      <c r="D17" s="786"/>
      <c r="E17" s="3410"/>
      <c r="F17" s="691" t="s">
        <v>908</v>
      </c>
      <c r="G17" s="702">
        <v>30000</v>
      </c>
      <c r="H17" s="691" t="s">
        <v>21</v>
      </c>
      <c r="I17" s="876">
        <v>40</v>
      </c>
      <c r="J17" s="691"/>
      <c r="K17" s="877"/>
      <c r="L17" s="691"/>
      <c r="M17" s="691"/>
      <c r="N17" s="701" t="s">
        <v>22</v>
      </c>
      <c r="O17" s="702">
        <f>G17*I17</f>
        <v>1200000</v>
      </c>
      <c r="P17" s="694"/>
      <c r="Q17" s="694"/>
      <c r="R17" s="695"/>
      <c r="S17" s="696"/>
      <c r="V17" s="48"/>
    </row>
    <row r="18" spans="1:22" ht="15" customHeight="1">
      <c r="A18" s="778"/>
      <c r="B18" s="786"/>
      <c r="C18" s="792"/>
      <c r="D18" s="786"/>
      <c r="E18" s="3410"/>
      <c r="F18" s="691" t="s">
        <v>909</v>
      </c>
      <c r="G18" s="702">
        <v>30000</v>
      </c>
      <c r="H18" s="691" t="s">
        <v>21</v>
      </c>
      <c r="I18" s="876">
        <v>15</v>
      </c>
      <c r="J18" s="691" t="s">
        <v>21</v>
      </c>
      <c r="K18" s="879">
        <v>2</v>
      </c>
      <c r="L18" s="691"/>
      <c r="M18" s="691"/>
      <c r="N18" s="701" t="s">
        <v>22</v>
      </c>
      <c r="O18" s="702">
        <f>G18*I18*K18</f>
        <v>900000</v>
      </c>
      <c r="P18" s="694"/>
      <c r="Q18" s="694"/>
      <c r="R18" s="695"/>
      <c r="S18" s="696"/>
    </row>
    <row r="19" spans="1:22" ht="15" customHeight="1">
      <c r="A19" s="778"/>
      <c r="B19" s="786"/>
      <c r="C19" s="792"/>
      <c r="D19" s="786"/>
      <c r="E19" s="3410"/>
      <c r="F19" s="691" t="s">
        <v>910</v>
      </c>
      <c r="G19" s="702">
        <v>30000</v>
      </c>
      <c r="H19" s="691" t="s">
        <v>21</v>
      </c>
      <c r="I19" s="876">
        <v>20</v>
      </c>
      <c r="J19" s="691" t="s">
        <v>21</v>
      </c>
      <c r="K19" s="879">
        <v>2</v>
      </c>
      <c r="L19" s="691"/>
      <c r="M19" s="691"/>
      <c r="N19" s="701" t="s">
        <v>22</v>
      </c>
      <c r="O19" s="702">
        <f>G19*I19*K19</f>
        <v>1200000</v>
      </c>
      <c r="P19" s="694"/>
      <c r="Q19" s="694"/>
      <c r="R19" s="695"/>
      <c r="S19" s="696"/>
    </row>
    <row r="20" spans="1:22" s="49" customFormat="1" ht="15" customHeight="1">
      <c r="A20" s="778"/>
      <c r="B20" s="786"/>
      <c r="C20" s="792"/>
      <c r="D20" s="684" t="s">
        <v>273</v>
      </c>
      <c r="E20" s="2229"/>
      <c r="F20" s="635"/>
      <c r="G20" s="636"/>
      <c r="H20" s="635"/>
      <c r="I20" s="635"/>
      <c r="J20" s="635"/>
      <c r="K20" s="635"/>
      <c r="L20" s="635"/>
      <c r="M20" s="635"/>
      <c r="N20" s="637"/>
      <c r="O20" s="635"/>
      <c r="P20" s="638">
        <f>P21</f>
        <v>2000000</v>
      </c>
      <c r="Q20" s="638">
        <f>Q21</f>
        <v>7440000</v>
      </c>
      <c r="R20" s="793">
        <f>+P20-Q20</f>
        <v>-5440000</v>
      </c>
      <c r="S20" s="873">
        <f>+R20/Q20</f>
        <v>-0.73118279569892475</v>
      </c>
    </row>
    <row r="21" spans="1:22" ht="15" customHeight="1">
      <c r="A21" s="778"/>
      <c r="B21" s="786"/>
      <c r="C21" s="792"/>
      <c r="D21" s="844"/>
      <c r="E21" s="3637" t="s">
        <v>274</v>
      </c>
      <c r="F21" s="3638"/>
      <c r="G21" s="3638"/>
      <c r="H21" s="3638"/>
      <c r="I21" s="3638"/>
      <c r="J21" s="3638"/>
      <c r="K21" s="3638"/>
      <c r="L21" s="3638"/>
      <c r="M21" s="3638"/>
      <c r="N21" s="3638"/>
      <c r="O21" s="3639"/>
      <c r="P21" s="645">
        <f>ROUNDUP(O22,-3)</f>
        <v>2000000</v>
      </c>
      <c r="Q21" s="645">
        <v>7440000</v>
      </c>
      <c r="R21" s="646">
        <f>+P21-Q21</f>
        <v>-5440000</v>
      </c>
      <c r="S21" s="647">
        <f t="shared" ref="S21" si="3">+R21/Q21</f>
        <v>-0.73118279569892475</v>
      </c>
    </row>
    <row r="22" spans="1:22" ht="15" customHeight="1">
      <c r="A22" s="778"/>
      <c r="B22" s="786"/>
      <c r="C22" s="792"/>
      <c r="D22" s="786"/>
      <c r="E22" s="3410"/>
      <c r="F22" s="679" t="s">
        <v>911</v>
      </c>
      <c r="G22" s="686"/>
      <c r="H22" s="679"/>
      <c r="I22" s="874"/>
      <c r="J22" s="679"/>
      <c r="K22" s="679"/>
      <c r="L22" s="679"/>
      <c r="M22" s="679"/>
      <c r="N22" s="687"/>
      <c r="O22" s="875">
        <f>SUM(O23:O23)</f>
        <v>2000000</v>
      </c>
      <c r="P22" s="653">
        <f>P21</f>
        <v>2000000</v>
      </c>
      <c r="Q22" s="653">
        <f>Q21</f>
        <v>7440000</v>
      </c>
      <c r="R22" s="654">
        <f>+P22-Q22</f>
        <v>-5440000</v>
      </c>
      <c r="S22" s="688">
        <f t="shared" ref="S22" si="4">+R22/Q22</f>
        <v>-0.73118279569892475</v>
      </c>
      <c r="U22" s="60"/>
    </row>
    <row r="23" spans="1:22" ht="15" customHeight="1">
      <c r="A23" s="778"/>
      <c r="B23" s="786"/>
      <c r="C23" s="792"/>
      <c r="D23" s="786"/>
      <c r="E23" s="3412"/>
      <c r="F23" s="697" t="s">
        <v>159</v>
      </c>
      <c r="G23" s="880">
        <v>2000000</v>
      </c>
      <c r="H23" s="691" t="s">
        <v>21</v>
      </c>
      <c r="I23" s="878">
        <v>1</v>
      </c>
      <c r="J23" s="691"/>
      <c r="K23" s="881"/>
      <c r="L23" s="691"/>
      <c r="M23" s="691"/>
      <c r="N23" s="701" t="s">
        <v>22</v>
      </c>
      <c r="O23" s="882">
        <f>G23*I23</f>
        <v>2000000</v>
      </c>
      <c r="P23" s="694"/>
      <c r="Q23" s="694"/>
      <c r="R23" s="695"/>
      <c r="S23" s="696"/>
      <c r="V23" s="48"/>
    </row>
    <row r="24" spans="1:22" ht="15" customHeight="1">
      <c r="A24" s="778"/>
      <c r="B24" s="786"/>
      <c r="C24" s="3685" t="s">
        <v>275</v>
      </c>
      <c r="D24" s="3686"/>
      <c r="E24" s="3686"/>
      <c r="F24" s="3686"/>
      <c r="G24" s="3686"/>
      <c r="H24" s="3686"/>
      <c r="I24" s="3686"/>
      <c r="J24" s="3686"/>
      <c r="K24" s="3686"/>
      <c r="L24" s="3686"/>
      <c r="M24" s="3686"/>
      <c r="N24" s="3686"/>
      <c r="O24" s="3687"/>
      <c r="P24" s="872">
        <f>SUM(P25,P29,P31)</f>
        <v>184182000</v>
      </c>
      <c r="Q24" s="872">
        <f>SUM(Q25,Q29,Q31)</f>
        <v>561392000</v>
      </c>
      <c r="R24" s="867">
        <f>+P24-Q24</f>
        <v>-377210000</v>
      </c>
      <c r="S24" s="868">
        <f>+R24/Q24</f>
        <v>-0.67191908684128021</v>
      </c>
    </row>
    <row r="25" spans="1:22" ht="15" customHeight="1">
      <c r="A25" s="778"/>
      <c r="B25" s="786"/>
      <c r="C25" s="792"/>
      <c r="D25" s="684" t="s">
        <v>276</v>
      </c>
      <c r="E25" s="2229"/>
      <c r="F25" s="635"/>
      <c r="G25" s="636"/>
      <c r="H25" s="635"/>
      <c r="I25" s="635"/>
      <c r="J25" s="635"/>
      <c r="K25" s="635"/>
      <c r="L25" s="635"/>
      <c r="M25" s="635"/>
      <c r="N25" s="637"/>
      <c r="O25" s="635"/>
      <c r="P25" s="638">
        <f>P26</f>
        <v>100000</v>
      </c>
      <c r="Q25" s="638">
        <f>Q26</f>
        <v>100000</v>
      </c>
      <c r="R25" s="793">
        <f>+P25-Q25</f>
        <v>0</v>
      </c>
      <c r="S25" s="873">
        <f>+R25/Q25</f>
        <v>0</v>
      </c>
    </row>
    <row r="26" spans="1:22" ht="15" customHeight="1">
      <c r="A26" s="778"/>
      <c r="B26" s="786"/>
      <c r="C26" s="792"/>
      <c r="D26" s="844"/>
      <c r="E26" s="3637" t="s">
        <v>167</v>
      </c>
      <c r="F26" s="3638"/>
      <c r="G26" s="3638"/>
      <c r="H26" s="3638"/>
      <c r="I26" s="3638"/>
      <c r="J26" s="3638"/>
      <c r="K26" s="3638"/>
      <c r="L26" s="3638"/>
      <c r="M26" s="3638"/>
      <c r="N26" s="3638"/>
      <c r="O26" s="3639"/>
      <c r="P26" s="645">
        <f>ROUNDUP(O27,-3)</f>
        <v>100000</v>
      </c>
      <c r="Q26" s="645">
        <v>100000</v>
      </c>
      <c r="R26" s="646">
        <f>+P26-Q26</f>
        <v>0</v>
      </c>
      <c r="S26" s="647">
        <f t="shared" ref="S26" si="5">+R26/Q26</f>
        <v>0</v>
      </c>
    </row>
    <row r="27" spans="1:22" ht="15" customHeight="1">
      <c r="A27" s="778"/>
      <c r="B27" s="786"/>
      <c r="C27" s="792"/>
      <c r="D27" s="786"/>
      <c r="E27" s="3410"/>
      <c r="F27" s="679" t="s">
        <v>924</v>
      </c>
      <c r="G27" s="686"/>
      <c r="H27" s="679"/>
      <c r="I27" s="874"/>
      <c r="J27" s="679"/>
      <c r="K27" s="679"/>
      <c r="L27" s="679"/>
      <c r="M27" s="679"/>
      <c r="N27" s="687"/>
      <c r="O27" s="875">
        <f>SUM(O28:O28)</f>
        <v>100000</v>
      </c>
      <c r="P27" s="653">
        <f>P26</f>
        <v>100000</v>
      </c>
      <c r="Q27" s="653">
        <f>Q26</f>
        <v>100000</v>
      </c>
      <c r="R27" s="654">
        <f>+P27-Q27</f>
        <v>0</v>
      </c>
      <c r="S27" s="688">
        <f t="shared" ref="S27" si="6">+R27/Q27</f>
        <v>0</v>
      </c>
      <c r="V27" s="48"/>
    </row>
    <row r="28" spans="1:22" ht="15" customHeight="1">
      <c r="A28" s="778"/>
      <c r="B28" s="786"/>
      <c r="C28" s="792"/>
      <c r="D28" s="846"/>
      <c r="E28" s="3412"/>
      <c r="F28" s="697" t="s">
        <v>20</v>
      </c>
      <c r="G28" s="880">
        <v>100000</v>
      </c>
      <c r="H28" s="691" t="s">
        <v>21</v>
      </c>
      <c r="I28" s="883">
        <v>1</v>
      </c>
      <c r="J28" s="691"/>
      <c r="K28" s="881"/>
      <c r="L28" s="691"/>
      <c r="M28" s="691"/>
      <c r="N28" s="701" t="s">
        <v>22</v>
      </c>
      <c r="O28" s="882">
        <f>G28*I28</f>
        <v>100000</v>
      </c>
      <c r="P28" s="694"/>
      <c r="Q28" s="694"/>
      <c r="R28" s="695"/>
      <c r="S28" s="696"/>
    </row>
    <row r="29" spans="1:22" ht="15" customHeight="1">
      <c r="A29" s="778"/>
      <c r="B29" s="786"/>
      <c r="C29" s="792"/>
      <c r="D29" s="532" t="s">
        <v>23</v>
      </c>
      <c r="E29" s="2229"/>
      <c r="F29" s="635"/>
      <c r="G29" s="636"/>
      <c r="H29" s="635"/>
      <c r="I29" s="635"/>
      <c r="J29" s="635"/>
      <c r="K29" s="635"/>
      <c r="L29" s="635"/>
      <c r="M29" s="635"/>
      <c r="N29" s="637"/>
      <c r="O29" s="635"/>
      <c r="P29" s="638">
        <f>SUM(P30:P30)</f>
        <v>0</v>
      </c>
      <c r="Q29" s="638">
        <f>SUM(Q30:Q30)</f>
        <v>229944000</v>
      </c>
      <c r="R29" s="793">
        <f>+P29-Q29</f>
        <v>-229944000</v>
      </c>
      <c r="S29" s="873">
        <f>+R29/Q29</f>
        <v>-1</v>
      </c>
    </row>
    <row r="30" spans="1:22" ht="15" customHeight="1">
      <c r="A30" s="778"/>
      <c r="B30" s="786"/>
      <c r="C30" s="792"/>
      <c r="D30" s="844"/>
      <c r="E30" s="3637" t="s">
        <v>277</v>
      </c>
      <c r="F30" s="3638"/>
      <c r="G30" s="3638"/>
      <c r="H30" s="3638"/>
      <c r="I30" s="3638"/>
      <c r="J30" s="3638"/>
      <c r="K30" s="3638"/>
      <c r="L30" s="3638"/>
      <c r="M30" s="3638"/>
      <c r="N30" s="3638"/>
      <c r="O30" s="3639"/>
      <c r="P30" s="645">
        <v>0</v>
      </c>
      <c r="Q30" s="645">
        <v>229944000</v>
      </c>
      <c r="R30" s="646">
        <f>+P30-Q30</f>
        <v>-229944000</v>
      </c>
      <c r="S30" s="647">
        <f>+R30/Q30</f>
        <v>-1</v>
      </c>
    </row>
    <row r="31" spans="1:22" ht="15" customHeight="1">
      <c r="A31" s="778"/>
      <c r="B31" s="786"/>
      <c r="C31" s="792"/>
      <c r="D31" s="684" t="s">
        <v>278</v>
      </c>
      <c r="E31" s="2229"/>
      <c r="F31" s="635"/>
      <c r="G31" s="636"/>
      <c r="H31" s="635"/>
      <c r="I31" s="635"/>
      <c r="J31" s="635"/>
      <c r="K31" s="635"/>
      <c r="L31" s="635"/>
      <c r="M31" s="635"/>
      <c r="N31" s="637"/>
      <c r="O31" s="635"/>
      <c r="P31" s="638">
        <f>P32</f>
        <v>184082000</v>
      </c>
      <c r="Q31" s="638">
        <f>Q32</f>
        <v>331348000</v>
      </c>
      <c r="R31" s="793">
        <f>+P31-Q31</f>
        <v>-147266000</v>
      </c>
      <c r="S31" s="873">
        <f>+R31/Q31</f>
        <v>-0.44444511510556878</v>
      </c>
    </row>
    <row r="32" spans="1:22" ht="15" customHeight="1">
      <c r="A32" s="778"/>
      <c r="B32" s="786"/>
      <c r="C32" s="792"/>
      <c r="D32" s="844"/>
      <c r="E32" s="3637" t="s">
        <v>279</v>
      </c>
      <c r="F32" s="3638"/>
      <c r="G32" s="3638"/>
      <c r="H32" s="3638"/>
      <c r="I32" s="3638"/>
      <c r="J32" s="3638"/>
      <c r="K32" s="3638"/>
      <c r="L32" s="3638"/>
      <c r="M32" s="3638"/>
      <c r="N32" s="3638"/>
      <c r="O32" s="3639"/>
      <c r="P32" s="645">
        <f>ROUNDUP(O33,-3)</f>
        <v>184082000</v>
      </c>
      <c r="Q32" s="645">
        <v>331348000</v>
      </c>
      <c r="R32" s="646">
        <f>+P32-Q32</f>
        <v>-147266000</v>
      </c>
      <c r="S32" s="647">
        <f t="shared" ref="S32" si="7">+R32/Q32</f>
        <v>-0.44444511510556878</v>
      </c>
    </row>
    <row r="33" spans="1:19" ht="15" customHeight="1">
      <c r="A33" s="778"/>
      <c r="B33" s="786"/>
      <c r="C33" s="792"/>
      <c r="D33" s="786"/>
      <c r="E33" s="3413"/>
      <c r="F33" s="679" t="s">
        <v>925</v>
      </c>
      <c r="G33" s="686"/>
      <c r="H33" s="679"/>
      <c r="I33" s="874"/>
      <c r="J33" s="679"/>
      <c r="K33" s="679"/>
      <c r="L33" s="679"/>
      <c r="M33" s="679"/>
      <c r="N33" s="687"/>
      <c r="O33" s="875">
        <f>SUM(O34:O34)</f>
        <v>184082000</v>
      </c>
      <c r="P33" s="548">
        <f>O33</f>
        <v>184082000</v>
      </c>
      <c r="Q33" s="653">
        <f>Q32</f>
        <v>331348000</v>
      </c>
      <c r="R33" s="654">
        <f>+P33-Q33</f>
        <v>-147266000</v>
      </c>
      <c r="S33" s="688">
        <f t="shared" ref="S33" si="8">+R33/Q33</f>
        <v>-0.44444511510556878</v>
      </c>
    </row>
    <row r="34" spans="1:19" s="49" customFormat="1" ht="15" customHeight="1">
      <c r="A34" s="1130"/>
      <c r="B34" s="846"/>
      <c r="C34" s="780"/>
      <c r="D34" s="846"/>
      <c r="E34" s="3432"/>
      <c r="F34" s="705" t="s">
        <v>926</v>
      </c>
      <c r="G34" s="893">
        <v>184082000</v>
      </c>
      <c r="H34" s="709" t="s">
        <v>21</v>
      </c>
      <c r="I34" s="894">
        <v>1</v>
      </c>
      <c r="J34" s="709"/>
      <c r="K34" s="895"/>
      <c r="L34" s="709"/>
      <c r="M34" s="709"/>
      <c r="N34" s="710" t="s">
        <v>22</v>
      </c>
      <c r="O34" s="896">
        <f>G34</f>
        <v>184082000</v>
      </c>
      <c r="P34" s="712"/>
      <c r="Q34" s="712"/>
      <c r="R34" s="713"/>
      <c r="S34" s="714"/>
    </row>
    <row r="35" spans="1:19" ht="15" customHeight="1">
      <c r="A35" s="778"/>
      <c r="B35" s="3685" t="s">
        <v>281</v>
      </c>
      <c r="C35" s="3686"/>
      <c r="D35" s="3686"/>
      <c r="E35" s="3686"/>
      <c r="F35" s="3686"/>
      <c r="G35" s="3686"/>
      <c r="H35" s="3686"/>
      <c r="I35" s="3686"/>
      <c r="J35" s="3686"/>
      <c r="K35" s="3686"/>
      <c r="L35" s="3686"/>
      <c r="M35" s="3686"/>
      <c r="N35" s="3686"/>
      <c r="O35" s="3687"/>
      <c r="P35" s="866">
        <f>P36</f>
        <v>11030000</v>
      </c>
      <c r="Q35" s="866">
        <f>Q36</f>
        <v>13638000</v>
      </c>
      <c r="R35" s="924">
        <f>+P35-Q35</f>
        <v>-2608000</v>
      </c>
      <c r="S35" s="925">
        <f>+R35/Q35</f>
        <v>-0.19123038568705089</v>
      </c>
    </row>
    <row r="36" spans="1:19" ht="15" customHeight="1">
      <c r="A36" s="778"/>
      <c r="B36" s="786"/>
      <c r="C36" s="3657" t="s">
        <v>175</v>
      </c>
      <c r="D36" s="3658"/>
      <c r="E36" s="3658"/>
      <c r="F36" s="3658"/>
      <c r="G36" s="3658"/>
      <c r="H36" s="3658"/>
      <c r="I36" s="3658"/>
      <c r="J36" s="3658"/>
      <c r="K36" s="3658"/>
      <c r="L36" s="3658"/>
      <c r="M36" s="3658"/>
      <c r="N36" s="3658"/>
      <c r="O36" s="3659"/>
      <c r="P36" s="872">
        <f>P37</f>
        <v>11030000</v>
      </c>
      <c r="Q36" s="872">
        <f>Q37</f>
        <v>13638000</v>
      </c>
      <c r="R36" s="867">
        <f>+P36-Q36</f>
        <v>-2608000</v>
      </c>
      <c r="S36" s="868">
        <f>+R36/Q36</f>
        <v>-0.19123038568705089</v>
      </c>
    </row>
    <row r="37" spans="1:19" ht="15" customHeight="1">
      <c r="A37" s="778"/>
      <c r="B37" s="786"/>
      <c r="C37" s="897"/>
      <c r="D37" s="684" t="s">
        <v>283</v>
      </c>
      <c r="E37" s="2229"/>
      <c r="F37" s="635"/>
      <c r="G37" s="636"/>
      <c r="H37" s="635"/>
      <c r="I37" s="635"/>
      <c r="J37" s="635"/>
      <c r="K37" s="635"/>
      <c r="L37" s="635"/>
      <c r="M37" s="635"/>
      <c r="N37" s="637"/>
      <c r="O37" s="635"/>
      <c r="P37" s="638">
        <f>SUM(P38)</f>
        <v>11030000</v>
      </c>
      <c r="Q37" s="638">
        <f>SUM(Q38)</f>
        <v>13638000</v>
      </c>
      <c r="R37" s="793">
        <f>+P37-Q37</f>
        <v>-2608000</v>
      </c>
      <c r="S37" s="873">
        <f>+R37/Q37</f>
        <v>-0.19123038568705089</v>
      </c>
    </row>
    <row r="38" spans="1:19" s="49" customFormat="1" ht="15" customHeight="1">
      <c r="A38" s="778"/>
      <c r="B38" s="786"/>
      <c r="C38" s="897"/>
      <c r="D38" s="844"/>
      <c r="E38" s="3637" t="s">
        <v>284</v>
      </c>
      <c r="F38" s="3638"/>
      <c r="G38" s="3638"/>
      <c r="H38" s="3638"/>
      <c r="I38" s="3638"/>
      <c r="J38" s="3638"/>
      <c r="K38" s="3638"/>
      <c r="L38" s="3638"/>
      <c r="M38" s="3638"/>
      <c r="N38" s="3638"/>
      <c r="O38" s="3639"/>
      <c r="P38" s="645">
        <f>O39</f>
        <v>11030000</v>
      </c>
      <c r="Q38" s="645">
        <v>13638000</v>
      </c>
      <c r="R38" s="646">
        <f>+P38-Q38</f>
        <v>-2608000</v>
      </c>
      <c r="S38" s="647">
        <f t="shared" ref="S38" si="9">+R38/Q38</f>
        <v>-0.19123038568705089</v>
      </c>
    </row>
    <row r="39" spans="1:19" ht="15" customHeight="1">
      <c r="A39" s="778"/>
      <c r="B39" s="786"/>
      <c r="C39" s="792"/>
      <c r="D39" s="786"/>
      <c r="E39" s="3410"/>
      <c r="F39" s="679" t="s">
        <v>927</v>
      </c>
      <c r="G39" s="686"/>
      <c r="H39" s="679"/>
      <c r="I39" s="874"/>
      <c r="J39" s="679"/>
      <c r="K39" s="679"/>
      <c r="L39" s="679"/>
      <c r="M39" s="679"/>
      <c r="N39" s="687"/>
      <c r="O39" s="875">
        <f>SUM(O40)</f>
        <v>11030000</v>
      </c>
      <c r="P39" s="548">
        <f>O39</f>
        <v>11030000</v>
      </c>
      <c r="Q39" s="653">
        <f>Q38</f>
        <v>13638000</v>
      </c>
      <c r="R39" s="654">
        <f>+P39-Q39</f>
        <v>-2608000</v>
      </c>
      <c r="S39" s="688">
        <f t="shared" ref="S39" si="10">+R39/Q39</f>
        <v>-0.19123038568705089</v>
      </c>
    </row>
    <row r="40" spans="1:19" ht="15" customHeight="1" thickBot="1">
      <c r="A40" s="898"/>
      <c r="B40" s="899"/>
      <c r="C40" s="900"/>
      <c r="D40" s="899"/>
      <c r="E40" s="3447"/>
      <c r="F40" s="902" t="s">
        <v>928</v>
      </c>
      <c r="G40" s="903">
        <v>11030000</v>
      </c>
      <c r="H40" s="904" t="s">
        <v>21</v>
      </c>
      <c r="I40" s="905">
        <v>1</v>
      </c>
      <c r="J40" s="904"/>
      <c r="K40" s="906"/>
      <c r="L40" s="904"/>
      <c r="M40" s="904"/>
      <c r="N40" s="907" t="s">
        <v>2957</v>
      </c>
      <c r="O40" s="908">
        <f>G40</f>
        <v>11030000</v>
      </c>
      <c r="P40" s="909"/>
      <c r="Q40" s="909"/>
      <c r="R40" s="910"/>
      <c r="S40" s="911"/>
    </row>
    <row r="41" spans="1:19" ht="12" customHeight="1"/>
    <row r="42" spans="1:19" ht="12" customHeight="1"/>
    <row r="43" spans="1:19" ht="12" customHeight="1">
      <c r="O43" s="61"/>
    </row>
    <row r="44" spans="1:19" ht="12" customHeight="1"/>
    <row r="45" spans="1:19" ht="12" customHeight="1"/>
    <row r="46" spans="1:19" ht="12" customHeight="1">
      <c r="N46" s="3461"/>
    </row>
    <row r="47" spans="1:19" ht="12" customHeight="1"/>
    <row r="48" spans="1:19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</sheetData>
  <mergeCells count="19">
    <mergeCell ref="A1:S1"/>
    <mergeCell ref="R2:S2"/>
    <mergeCell ref="A3:E3"/>
    <mergeCell ref="G3:O4"/>
    <mergeCell ref="P3:P4"/>
    <mergeCell ref="Q3:Q4"/>
    <mergeCell ref="R3:R4"/>
    <mergeCell ref="S3:S4"/>
    <mergeCell ref="B6:O6"/>
    <mergeCell ref="E38:O38"/>
    <mergeCell ref="C36:O36"/>
    <mergeCell ref="C7:O7"/>
    <mergeCell ref="C24:O24"/>
    <mergeCell ref="B35:O35"/>
    <mergeCell ref="E9:O9"/>
    <mergeCell ref="E21:O21"/>
    <mergeCell ref="E26:O26"/>
    <mergeCell ref="E30:O30"/>
    <mergeCell ref="E32:O32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0" orientation="landscape" r:id="rId1"/>
  <headerFooter scaleWithDoc="0">
    <oddFooter>&amp;C&amp;P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99FF"/>
    <pageSetUpPr fitToPage="1"/>
  </sheetPr>
  <dimension ref="A1:Y127"/>
  <sheetViews>
    <sheetView view="pageBreakPreview" zoomScale="85" zoomScaleNormal="85" zoomScaleSheetLayoutView="85" workbookViewId="0">
      <pane xSplit="3" ySplit="7" topLeftCell="D23" activePane="bottomRight" state="frozen"/>
      <selection activeCell="O40" sqref="O39:O40"/>
      <selection pane="topRight" activeCell="O40" sqref="O39:O40"/>
      <selection pane="bottomLeft" activeCell="O40" sqref="O39:O40"/>
      <selection pane="bottomRight" activeCell="O62" sqref="O62"/>
    </sheetView>
  </sheetViews>
  <sheetFormatPr defaultColWidth="9" defaultRowHeight="13.5"/>
  <cols>
    <col min="1" max="1" width="3.625" style="13" customWidth="1"/>
    <col min="2" max="4" width="3.625" style="50" customWidth="1"/>
    <col min="5" max="5" width="10.625" style="3448" customWidth="1"/>
    <col min="6" max="6" width="25.75" style="13" customWidth="1"/>
    <col min="7" max="7" width="13.25" style="51" bestFit="1" customWidth="1"/>
    <col min="8" max="8" width="2.125" style="13" customWidth="1"/>
    <col min="9" max="9" width="6" style="13" bestFit="1" customWidth="1"/>
    <col min="10" max="10" width="2.125" style="13" customWidth="1"/>
    <col min="11" max="11" width="5.875" style="13" bestFit="1" customWidth="1"/>
    <col min="12" max="12" width="2.75" style="13" customWidth="1"/>
    <col min="13" max="13" width="4.875" style="13" bestFit="1" customWidth="1"/>
    <col min="14" max="14" width="2.625" style="52" customWidth="1"/>
    <col min="15" max="15" width="12.625" style="13" customWidth="1"/>
    <col min="16" max="16" width="10.625" style="53" customWidth="1"/>
    <col min="17" max="17" width="10.625" style="54" customWidth="1"/>
    <col min="18" max="18" width="10.625" style="185" customWidth="1"/>
    <col min="19" max="19" width="10.625" style="221" customWidth="1"/>
    <col min="20" max="20" width="9" style="13"/>
    <col min="21" max="21" width="10.5" style="13" bestFit="1" customWidth="1"/>
    <col min="22" max="16384" width="9" style="13"/>
  </cols>
  <sheetData>
    <row r="1" spans="1:25" s="49" customFormat="1" ht="35.1" customHeight="1">
      <c r="A1" s="3679" t="s">
        <v>2087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</row>
    <row r="2" spans="1:25" ht="15" customHeight="1" thickBot="1">
      <c r="A2" s="128" t="s">
        <v>245</v>
      </c>
      <c r="B2" s="839"/>
      <c r="C2" s="839"/>
      <c r="D2" s="839"/>
      <c r="E2" s="845"/>
      <c r="F2" s="128"/>
      <c r="G2" s="840"/>
      <c r="H2" s="128"/>
      <c r="I2" s="128"/>
      <c r="J2" s="128"/>
      <c r="K2" s="128"/>
      <c r="L2" s="128"/>
      <c r="M2" s="128"/>
      <c r="N2" s="841"/>
      <c r="O2" s="128"/>
      <c r="P2" s="842"/>
      <c r="Q2" s="843"/>
      <c r="R2" s="3680" t="s">
        <v>246</v>
      </c>
      <c r="S2" s="3680"/>
    </row>
    <row r="3" spans="1:25" s="55" customFormat="1" ht="14.65" customHeight="1">
      <c r="A3" s="3662" t="s">
        <v>295</v>
      </c>
      <c r="B3" s="3663"/>
      <c r="C3" s="3663"/>
      <c r="D3" s="3663"/>
      <c r="E3" s="3663"/>
      <c r="F3" s="605"/>
      <c r="G3" s="3664" t="s">
        <v>296</v>
      </c>
      <c r="H3" s="3664"/>
      <c r="I3" s="3664"/>
      <c r="J3" s="3664"/>
      <c r="K3" s="3664"/>
      <c r="L3" s="3664"/>
      <c r="M3" s="3664"/>
      <c r="N3" s="3664"/>
      <c r="O3" s="3665"/>
      <c r="P3" s="3668" t="s">
        <v>4</v>
      </c>
      <c r="Q3" s="3670" t="s">
        <v>326</v>
      </c>
      <c r="R3" s="3672" t="s">
        <v>5</v>
      </c>
      <c r="S3" s="3674" t="s">
        <v>6</v>
      </c>
    </row>
    <row r="4" spans="1:25" s="55" customFormat="1" ht="14.65" customHeight="1" thickBot="1">
      <c r="A4" s="606" t="s">
        <v>297</v>
      </c>
      <c r="B4" s="607" t="s">
        <v>298</v>
      </c>
      <c r="C4" s="607" t="s">
        <v>299</v>
      </c>
      <c r="D4" s="607" t="s">
        <v>300</v>
      </c>
      <c r="E4" s="607" t="s">
        <v>301</v>
      </c>
      <c r="F4" s="608" t="s">
        <v>302</v>
      </c>
      <c r="G4" s="3666"/>
      <c r="H4" s="3666"/>
      <c r="I4" s="3666"/>
      <c r="J4" s="3666"/>
      <c r="K4" s="3666"/>
      <c r="L4" s="3666"/>
      <c r="M4" s="3666"/>
      <c r="N4" s="3666"/>
      <c r="O4" s="3667"/>
      <c r="P4" s="3669"/>
      <c r="Q4" s="3671"/>
      <c r="R4" s="3673"/>
      <c r="S4" s="3675"/>
    </row>
    <row r="5" spans="1:25" s="49" customFormat="1" ht="14.65" customHeight="1" thickBot="1">
      <c r="A5" s="609" t="s">
        <v>303</v>
      </c>
      <c r="B5" s="610"/>
      <c r="C5" s="611"/>
      <c r="D5" s="611"/>
      <c r="E5" s="611"/>
      <c r="F5" s="611"/>
      <c r="G5" s="612"/>
      <c r="H5" s="611"/>
      <c r="I5" s="611"/>
      <c r="J5" s="611"/>
      <c r="K5" s="611"/>
      <c r="L5" s="611"/>
      <c r="M5" s="611"/>
      <c r="N5" s="613"/>
      <c r="O5" s="611"/>
      <c r="P5" s="614">
        <f>P6+P49</f>
        <v>214777000</v>
      </c>
      <c r="Q5" s="614">
        <f>Q6+Q49</f>
        <v>358832000</v>
      </c>
      <c r="R5" s="615">
        <f t="shared" ref="R5:R10" si="0">+P5-Q5</f>
        <v>-144055000</v>
      </c>
      <c r="S5" s="616">
        <f>+R5/Q5</f>
        <v>-0.40145527712132695</v>
      </c>
      <c r="W5" s="56"/>
    </row>
    <row r="6" spans="1:25" s="49" customFormat="1" ht="14.65" customHeight="1">
      <c r="A6" s="778"/>
      <c r="B6" s="3685" t="s">
        <v>3182</v>
      </c>
      <c r="C6" s="3686"/>
      <c r="D6" s="3686"/>
      <c r="E6" s="3686"/>
      <c r="F6" s="3686"/>
      <c r="G6" s="3686"/>
      <c r="H6" s="3686"/>
      <c r="I6" s="3686"/>
      <c r="J6" s="3686"/>
      <c r="K6" s="3686"/>
      <c r="L6" s="3686"/>
      <c r="M6" s="3686"/>
      <c r="N6" s="3686"/>
      <c r="O6" s="3687"/>
      <c r="P6" s="866">
        <f>SUM(P7,P33)</f>
        <v>199417000</v>
      </c>
      <c r="Q6" s="866">
        <f>SUM(Q7,Q33)</f>
        <v>340768000</v>
      </c>
      <c r="R6" s="867">
        <f t="shared" si="0"/>
        <v>-141351000</v>
      </c>
      <c r="S6" s="868">
        <f>+R6/Q6</f>
        <v>-0.41480127241994552</v>
      </c>
    </row>
    <row r="7" spans="1:25" s="49" customFormat="1" ht="14.65" customHeight="1">
      <c r="A7" s="778"/>
      <c r="B7" s="844"/>
      <c r="C7" s="3685" t="s">
        <v>150</v>
      </c>
      <c r="D7" s="3686"/>
      <c r="E7" s="3686"/>
      <c r="F7" s="3686"/>
      <c r="G7" s="3686"/>
      <c r="H7" s="3686"/>
      <c r="I7" s="3686"/>
      <c r="J7" s="3686"/>
      <c r="K7" s="3686"/>
      <c r="L7" s="3686"/>
      <c r="M7" s="3686"/>
      <c r="N7" s="3686"/>
      <c r="O7" s="3687"/>
      <c r="P7" s="872">
        <f>SUM(P8,P29)</f>
        <v>112400000</v>
      </c>
      <c r="Q7" s="872">
        <f>SUM(Q8,Q29)</f>
        <v>101860000</v>
      </c>
      <c r="R7" s="867">
        <f t="shared" si="0"/>
        <v>10540000</v>
      </c>
      <c r="S7" s="868">
        <f>+R7/Q7</f>
        <v>0.10347535833496957</v>
      </c>
    </row>
    <row r="8" spans="1:25" s="49" customFormat="1" ht="14.65" customHeight="1">
      <c r="A8" s="778"/>
      <c r="B8" s="786"/>
      <c r="C8" s="792"/>
      <c r="D8" s="684" t="s">
        <v>304</v>
      </c>
      <c r="E8" s="2229"/>
      <c r="F8" s="635"/>
      <c r="G8" s="636"/>
      <c r="H8" s="635"/>
      <c r="I8" s="635"/>
      <c r="J8" s="635"/>
      <c r="K8" s="635"/>
      <c r="L8" s="635"/>
      <c r="M8" s="635"/>
      <c r="N8" s="637"/>
      <c r="O8" s="635"/>
      <c r="P8" s="638">
        <f>SUM(P9,P27)</f>
        <v>111120000</v>
      </c>
      <c r="Q8" s="638">
        <f>SUM(Q9,Q27)</f>
        <v>100900000</v>
      </c>
      <c r="R8" s="793">
        <f t="shared" si="0"/>
        <v>10220000</v>
      </c>
      <c r="S8" s="873">
        <f>+R8/Q8</f>
        <v>0.10128840436075322</v>
      </c>
      <c r="X8" s="56"/>
    </row>
    <row r="9" spans="1:25" ht="14.65" customHeight="1">
      <c r="A9" s="778"/>
      <c r="B9" s="786"/>
      <c r="C9" s="792"/>
      <c r="D9" s="844"/>
      <c r="E9" s="3637" t="s">
        <v>305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645">
        <f>O10</f>
        <v>101120000</v>
      </c>
      <c r="Q9" s="645">
        <v>100400000</v>
      </c>
      <c r="R9" s="646">
        <f t="shared" si="0"/>
        <v>720000</v>
      </c>
      <c r="S9" s="647">
        <f t="shared" ref="S9" si="1">+R9/Q9</f>
        <v>7.1713147410358566E-3</v>
      </c>
    </row>
    <row r="10" spans="1:25" ht="14.65" customHeight="1">
      <c r="A10" s="778"/>
      <c r="B10" s="786"/>
      <c r="C10" s="792"/>
      <c r="D10" s="786"/>
      <c r="E10" s="3410"/>
      <c r="F10" s="679" t="s">
        <v>951</v>
      </c>
      <c r="G10" s="686"/>
      <c r="H10" s="679"/>
      <c r="I10" s="679"/>
      <c r="J10" s="679"/>
      <c r="K10" s="679"/>
      <c r="L10" s="679"/>
      <c r="M10" s="679"/>
      <c r="N10" s="687"/>
      <c r="O10" s="681">
        <f>SUM(O11:O26)</f>
        <v>101120000</v>
      </c>
      <c r="P10" s="653">
        <v>101120000</v>
      </c>
      <c r="Q10" s="653">
        <v>100400000</v>
      </c>
      <c r="R10" s="654">
        <f t="shared" si="0"/>
        <v>720000</v>
      </c>
      <c r="S10" s="688">
        <f t="shared" ref="S10" si="2">+R10/Q10</f>
        <v>7.1713147410358566E-3</v>
      </c>
    </row>
    <row r="11" spans="1:25" ht="14.65" customHeight="1">
      <c r="A11" s="778"/>
      <c r="B11" s="786"/>
      <c r="C11" s="792"/>
      <c r="D11" s="786"/>
      <c r="E11" s="3410"/>
      <c r="F11" s="697" t="s">
        <v>936</v>
      </c>
      <c r="G11" s="880">
        <v>35000</v>
      </c>
      <c r="H11" s="691" t="s">
        <v>21</v>
      </c>
      <c r="I11" s="876">
        <v>25</v>
      </c>
      <c r="J11" s="691"/>
      <c r="K11" s="881">
        <v>12</v>
      </c>
      <c r="L11" s="691"/>
      <c r="M11" s="691"/>
      <c r="N11" s="701" t="s">
        <v>22</v>
      </c>
      <c r="O11" s="882">
        <f t="shared" ref="O11:O26" si="3">G11*I11*K11</f>
        <v>10500000</v>
      </c>
      <c r="P11" s="694"/>
      <c r="Q11" s="694"/>
      <c r="R11" s="695"/>
      <c r="S11" s="696"/>
    </row>
    <row r="12" spans="1:25" ht="14.65" customHeight="1">
      <c r="A12" s="778"/>
      <c r="B12" s="786"/>
      <c r="C12" s="792"/>
      <c r="D12" s="786"/>
      <c r="E12" s="3410"/>
      <c r="F12" s="697" t="s">
        <v>937</v>
      </c>
      <c r="G12" s="880">
        <v>40000</v>
      </c>
      <c r="H12" s="691" t="s">
        <v>21</v>
      </c>
      <c r="I12" s="876">
        <v>12</v>
      </c>
      <c r="J12" s="691"/>
      <c r="K12" s="881">
        <v>12</v>
      </c>
      <c r="L12" s="691"/>
      <c r="M12" s="691"/>
      <c r="N12" s="701" t="s">
        <v>22</v>
      </c>
      <c r="O12" s="882">
        <f t="shared" si="3"/>
        <v>5760000</v>
      </c>
      <c r="P12" s="694"/>
      <c r="Q12" s="694"/>
      <c r="R12" s="695"/>
      <c r="S12" s="696"/>
    </row>
    <row r="13" spans="1:25" ht="14.65" customHeight="1">
      <c r="A13" s="778"/>
      <c r="B13" s="786"/>
      <c r="C13" s="792"/>
      <c r="D13" s="786"/>
      <c r="E13" s="3410"/>
      <c r="F13" s="697" t="s">
        <v>938</v>
      </c>
      <c r="G13" s="880">
        <v>30000</v>
      </c>
      <c r="H13" s="691" t="s">
        <v>21</v>
      </c>
      <c r="I13" s="876">
        <v>12</v>
      </c>
      <c r="J13" s="691"/>
      <c r="K13" s="881">
        <v>12</v>
      </c>
      <c r="L13" s="691"/>
      <c r="M13" s="691"/>
      <c r="N13" s="701" t="s">
        <v>22</v>
      </c>
      <c r="O13" s="882">
        <f t="shared" si="3"/>
        <v>4320000</v>
      </c>
      <c r="P13" s="694"/>
      <c r="Q13" s="694"/>
      <c r="R13" s="695"/>
      <c r="S13" s="696"/>
      <c r="U13" s="60"/>
      <c r="W13" s="60"/>
      <c r="Y13" s="60"/>
    </row>
    <row r="14" spans="1:25" ht="14.65" customHeight="1">
      <c r="A14" s="778"/>
      <c r="B14" s="786"/>
      <c r="C14" s="792"/>
      <c r="D14" s="786"/>
      <c r="E14" s="3410"/>
      <c r="F14" s="697" t="s">
        <v>939</v>
      </c>
      <c r="G14" s="880">
        <v>50000</v>
      </c>
      <c r="H14" s="691" t="s">
        <v>21</v>
      </c>
      <c r="I14" s="876">
        <v>6</v>
      </c>
      <c r="J14" s="691"/>
      <c r="K14" s="881">
        <v>12</v>
      </c>
      <c r="L14" s="691"/>
      <c r="M14" s="691"/>
      <c r="N14" s="701" t="s">
        <v>22</v>
      </c>
      <c r="O14" s="882">
        <f t="shared" si="3"/>
        <v>3600000</v>
      </c>
      <c r="P14" s="694"/>
      <c r="Q14" s="694"/>
      <c r="R14" s="695"/>
      <c r="S14" s="696"/>
    </row>
    <row r="15" spans="1:25" ht="14.65" customHeight="1">
      <c r="A15" s="778"/>
      <c r="B15" s="786"/>
      <c r="C15" s="792"/>
      <c r="D15" s="786"/>
      <c r="E15" s="3410"/>
      <c r="F15" s="697" t="s">
        <v>940</v>
      </c>
      <c r="G15" s="880">
        <v>50000</v>
      </c>
      <c r="H15" s="691" t="s">
        <v>21</v>
      </c>
      <c r="I15" s="876">
        <v>6</v>
      </c>
      <c r="J15" s="691"/>
      <c r="K15" s="881">
        <v>12</v>
      </c>
      <c r="L15" s="691"/>
      <c r="M15" s="691"/>
      <c r="N15" s="701" t="s">
        <v>22</v>
      </c>
      <c r="O15" s="882">
        <f t="shared" si="3"/>
        <v>3600000</v>
      </c>
      <c r="P15" s="694"/>
      <c r="Q15" s="694"/>
      <c r="R15" s="695"/>
      <c r="S15" s="696"/>
    </row>
    <row r="16" spans="1:25" ht="14.65" customHeight="1">
      <c r="A16" s="778"/>
      <c r="B16" s="786"/>
      <c r="C16" s="792"/>
      <c r="D16" s="786"/>
      <c r="E16" s="3410"/>
      <c r="F16" s="697" t="s">
        <v>941</v>
      </c>
      <c r="G16" s="880">
        <v>40000</v>
      </c>
      <c r="H16" s="691" t="s">
        <v>21</v>
      </c>
      <c r="I16" s="876">
        <v>6</v>
      </c>
      <c r="J16" s="691"/>
      <c r="K16" s="881">
        <v>12</v>
      </c>
      <c r="L16" s="691"/>
      <c r="M16" s="691"/>
      <c r="N16" s="701" t="s">
        <v>22</v>
      </c>
      <c r="O16" s="882">
        <f t="shared" si="3"/>
        <v>2880000</v>
      </c>
      <c r="P16" s="694"/>
      <c r="Q16" s="694"/>
      <c r="R16" s="695"/>
      <c r="S16" s="696"/>
    </row>
    <row r="17" spans="1:23" ht="14.65" customHeight="1">
      <c r="A17" s="778"/>
      <c r="B17" s="786"/>
      <c r="C17" s="792"/>
      <c r="D17" s="786"/>
      <c r="E17" s="3410"/>
      <c r="F17" s="697" t="s">
        <v>942</v>
      </c>
      <c r="G17" s="880">
        <v>40000</v>
      </c>
      <c r="H17" s="691" t="s">
        <v>21</v>
      </c>
      <c r="I17" s="876">
        <v>6</v>
      </c>
      <c r="J17" s="691"/>
      <c r="K17" s="881">
        <v>12</v>
      </c>
      <c r="L17" s="691"/>
      <c r="M17" s="691"/>
      <c r="N17" s="701" t="s">
        <v>22</v>
      </c>
      <c r="O17" s="882">
        <f t="shared" si="3"/>
        <v>2880000</v>
      </c>
      <c r="P17" s="694"/>
      <c r="Q17" s="694"/>
      <c r="R17" s="695"/>
      <c r="S17" s="696"/>
      <c r="W17" s="60"/>
    </row>
    <row r="18" spans="1:23" ht="14.65" customHeight="1">
      <c r="A18" s="778"/>
      <c r="B18" s="786"/>
      <c r="C18" s="792"/>
      <c r="D18" s="786"/>
      <c r="E18" s="3410"/>
      <c r="F18" s="697" t="s">
        <v>943</v>
      </c>
      <c r="G18" s="880">
        <v>40000</v>
      </c>
      <c r="H18" s="691" t="s">
        <v>21</v>
      </c>
      <c r="I18" s="876">
        <v>6</v>
      </c>
      <c r="J18" s="691"/>
      <c r="K18" s="881">
        <v>12</v>
      </c>
      <c r="L18" s="691"/>
      <c r="M18" s="691"/>
      <c r="N18" s="701" t="s">
        <v>22</v>
      </c>
      <c r="O18" s="882">
        <f t="shared" si="3"/>
        <v>2880000</v>
      </c>
      <c r="P18" s="694"/>
      <c r="Q18" s="694"/>
      <c r="R18" s="695"/>
      <c r="S18" s="696"/>
      <c r="U18" s="48"/>
    </row>
    <row r="19" spans="1:23" ht="14.65" customHeight="1">
      <c r="A19" s="778"/>
      <c r="B19" s="786"/>
      <c r="C19" s="792"/>
      <c r="D19" s="786"/>
      <c r="E19" s="3410"/>
      <c r="F19" s="697" t="s">
        <v>944</v>
      </c>
      <c r="G19" s="880">
        <v>40000</v>
      </c>
      <c r="H19" s="691" t="s">
        <v>21</v>
      </c>
      <c r="I19" s="876">
        <v>10</v>
      </c>
      <c r="J19" s="691"/>
      <c r="K19" s="881">
        <v>12</v>
      </c>
      <c r="L19" s="691"/>
      <c r="M19" s="691"/>
      <c r="N19" s="701" t="s">
        <v>22</v>
      </c>
      <c r="O19" s="882">
        <f t="shared" si="3"/>
        <v>4800000</v>
      </c>
      <c r="P19" s="694"/>
      <c r="Q19" s="694"/>
      <c r="R19" s="695"/>
      <c r="S19" s="696"/>
    </row>
    <row r="20" spans="1:23" ht="14.65" customHeight="1">
      <c r="A20" s="778"/>
      <c r="B20" s="786"/>
      <c r="C20" s="792"/>
      <c r="D20" s="786"/>
      <c r="E20" s="3410"/>
      <c r="F20" s="697" t="s">
        <v>945</v>
      </c>
      <c r="G20" s="880">
        <v>45000</v>
      </c>
      <c r="H20" s="691" t="s">
        <v>21</v>
      </c>
      <c r="I20" s="876">
        <v>20</v>
      </c>
      <c r="J20" s="691"/>
      <c r="K20" s="881">
        <v>12</v>
      </c>
      <c r="L20" s="691"/>
      <c r="M20" s="691"/>
      <c r="N20" s="701" t="s">
        <v>22</v>
      </c>
      <c r="O20" s="882">
        <f t="shared" si="3"/>
        <v>10800000</v>
      </c>
      <c r="P20" s="694"/>
      <c r="Q20" s="694"/>
      <c r="R20" s="695"/>
      <c r="S20" s="696"/>
    </row>
    <row r="21" spans="1:23" ht="14.65" customHeight="1">
      <c r="A21" s="778"/>
      <c r="B21" s="786"/>
      <c r="C21" s="792"/>
      <c r="D21" s="786"/>
      <c r="E21" s="3410"/>
      <c r="F21" s="697" t="s">
        <v>946</v>
      </c>
      <c r="G21" s="880">
        <v>45000</v>
      </c>
      <c r="H21" s="691" t="s">
        <v>21</v>
      </c>
      <c r="I21" s="876">
        <v>15</v>
      </c>
      <c r="J21" s="691"/>
      <c r="K21" s="881">
        <v>12</v>
      </c>
      <c r="L21" s="691"/>
      <c r="M21" s="691"/>
      <c r="N21" s="701" t="s">
        <v>22</v>
      </c>
      <c r="O21" s="882">
        <f t="shared" si="3"/>
        <v>8100000</v>
      </c>
      <c r="P21" s="694"/>
      <c r="Q21" s="694"/>
      <c r="R21" s="695"/>
      <c r="S21" s="696"/>
    </row>
    <row r="22" spans="1:23" ht="14.65" customHeight="1">
      <c r="A22" s="778"/>
      <c r="B22" s="786"/>
      <c r="C22" s="792"/>
      <c r="D22" s="786"/>
      <c r="E22" s="3410"/>
      <c r="F22" s="697" t="s">
        <v>947</v>
      </c>
      <c r="G22" s="880">
        <v>45000</v>
      </c>
      <c r="H22" s="691" t="s">
        <v>21</v>
      </c>
      <c r="I22" s="876">
        <v>15</v>
      </c>
      <c r="J22" s="691"/>
      <c r="K22" s="881">
        <v>12</v>
      </c>
      <c r="L22" s="691"/>
      <c r="M22" s="691"/>
      <c r="N22" s="701" t="s">
        <v>22</v>
      </c>
      <c r="O22" s="882">
        <f t="shared" si="3"/>
        <v>8100000</v>
      </c>
      <c r="P22" s="694"/>
      <c r="Q22" s="694"/>
      <c r="R22" s="695"/>
      <c r="S22" s="696"/>
    </row>
    <row r="23" spans="1:23" ht="14.65" customHeight="1">
      <c r="A23" s="778"/>
      <c r="B23" s="786"/>
      <c r="C23" s="792"/>
      <c r="D23" s="786"/>
      <c r="E23" s="3410"/>
      <c r="F23" s="697" t="s">
        <v>948</v>
      </c>
      <c r="G23" s="880">
        <v>45000</v>
      </c>
      <c r="H23" s="691" t="s">
        <v>21</v>
      </c>
      <c r="I23" s="876">
        <v>25</v>
      </c>
      <c r="J23" s="691"/>
      <c r="K23" s="881">
        <v>12</v>
      </c>
      <c r="L23" s="691"/>
      <c r="M23" s="691"/>
      <c r="N23" s="701" t="s">
        <v>22</v>
      </c>
      <c r="O23" s="882">
        <f t="shared" si="3"/>
        <v>13500000</v>
      </c>
      <c r="P23" s="694"/>
      <c r="Q23" s="694"/>
      <c r="R23" s="695"/>
      <c r="S23" s="696"/>
    </row>
    <row r="24" spans="1:23" ht="14.65" customHeight="1">
      <c r="A24" s="778"/>
      <c r="B24" s="786"/>
      <c r="C24" s="792"/>
      <c r="D24" s="786"/>
      <c r="E24" s="3410"/>
      <c r="F24" s="697" t="s">
        <v>954</v>
      </c>
      <c r="G24" s="880">
        <v>40000</v>
      </c>
      <c r="H24" s="691" t="s">
        <v>21</v>
      </c>
      <c r="I24" s="876">
        <v>20</v>
      </c>
      <c r="J24" s="691"/>
      <c r="K24" s="881">
        <v>12</v>
      </c>
      <c r="L24" s="691"/>
      <c r="M24" s="691"/>
      <c r="N24" s="701" t="s">
        <v>22</v>
      </c>
      <c r="O24" s="882">
        <f t="shared" si="3"/>
        <v>9600000</v>
      </c>
      <c r="P24" s="694"/>
      <c r="Q24" s="694"/>
      <c r="R24" s="695"/>
      <c r="S24" s="696"/>
      <c r="U24" s="48"/>
    </row>
    <row r="25" spans="1:23" ht="14.65" customHeight="1">
      <c r="A25" s="778"/>
      <c r="B25" s="786"/>
      <c r="C25" s="792"/>
      <c r="D25" s="786"/>
      <c r="E25" s="3410"/>
      <c r="F25" s="697" t="s">
        <v>949</v>
      </c>
      <c r="G25" s="880">
        <v>40000</v>
      </c>
      <c r="H25" s="691" t="s">
        <v>21</v>
      </c>
      <c r="I25" s="876">
        <v>20</v>
      </c>
      <c r="J25" s="691"/>
      <c r="K25" s="881">
        <v>12</v>
      </c>
      <c r="L25" s="691"/>
      <c r="M25" s="691"/>
      <c r="N25" s="701" t="s">
        <v>22</v>
      </c>
      <c r="O25" s="882">
        <f t="shared" si="3"/>
        <v>9600000</v>
      </c>
      <c r="P25" s="694"/>
      <c r="Q25" s="694"/>
      <c r="R25" s="695"/>
      <c r="S25" s="696"/>
    </row>
    <row r="26" spans="1:23" ht="14.65" customHeight="1">
      <c r="A26" s="778"/>
      <c r="B26" s="786"/>
      <c r="C26" s="792"/>
      <c r="D26" s="786"/>
      <c r="E26" s="3410"/>
      <c r="F26" s="697" t="s">
        <v>950</v>
      </c>
      <c r="G26" s="880">
        <v>2000</v>
      </c>
      <c r="H26" s="691" t="s">
        <v>21</v>
      </c>
      <c r="I26" s="876">
        <v>50</v>
      </c>
      <c r="J26" s="691"/>
      <c r="K26" s="881">
        <v>2</v>
      </c>
      <c r="L26" s="691"/>
      <c r="M26" s="691"/>
      <c r="N26" s="701" t="s">
        <v>22</v>
      </c>
      <c r="O26" s="882">
        <f t="shared" si="3"/>
        <v>200000</v>
      </c>
      <c r="P26" s="694"/>
      <c r="Q26" s="694"/>
      <c r="R26" s="695"/>
      <c r="S26" s="696"/>
    </row>
    <row r="27" spans="1:23" ht="14.65" customHeight="1">
      <c r="A27" s="778"/>
      <c r="B27" s="786"/>
      <c r="C27" s="792"/>
      <c r="D27" s="786"/>
      <c r="E27" s="3637" t="s">
        <v>155</v>
      </c>
      <c r="F27" s="3638"/>
      <c r="G27" s="3638"/>
      <c r="H27" s="3638"/>
      <c r="I27" s="3638"/>
      <c r="J27" s="3638"/>
      <c r="K27" s="3638"/>
      <c r="L27" s="3638"/>
      <c r="M27" s="3638"/>
      <c r="N27" s="3638"/>
      <c r="O27" s="3639"/>
      <c r="P27" s="645">
        <f>O28</f>
        <v>10000000</v>
      </c>
      <c r="Q27" s="645">
        <v>500000</v>
      </c>
      <c r="R27" s="646">
        <f>+P27-Q27</f>
        <v>9500000</v>
      </c>
      <c r="S27" s="647">
        <f t="shared" ref="S27" si="4">+R27/Q27</f>
        <v>19</v>
      </c>
    </row>
    <row r="28" spans="1:23" ht="14.65" customHeight="1">
      <c r="A28" s="778"/>
      <c r="B28" s="786"/>
      <c r="C28" s="792"/>
      <c r="D28" s="786"/>
      <c r="E28" s="3410"/>
      <c r="F28" s="912" t="s">
        <v>953</v>
      </c>
      <c r="G28" s="686">
        <v>1000000</v>
      </c>
      <c r="H28" s="679" t="s">
        <v>21</v>
      </c>
      <c r="I28" s="913">
        <v>10</v>
      </c>
      <c r="J28" s="679"/>
      <c r="K28" s="679"/>
      <c r="L28" s="679"/>
      <c r="M28" s="679"/>
      <c r="N28" s="687" t="s">
        <v>22</v>
      </c>
      <c r="O28" s="681">
        <f>G28*I28</f>
        <v>10000000</v>
      </c>
      <c r="P28" s="653">
        <v>10000000</v>
      </c>
      <c r="Q28" s="653">
        <v>500000</v>
      </c>
      <c r="R28" s="654">
        <f>+P28-Q28</f>
        <v>9500000</v>
      </c>
      <c r="S28" s="688">
        <f t="shared" ref="S28" si="5">+R28/Q28</f>
        <v>19</v>
      </c>
      <c r="U28" s="60"/>
    </row>
    <row r="29" spans="1:23" s="49" customFormat="1" ht="14.65" customHeight="1">
      <c r="A29" s="778"/>
      <c r="B29" s="786"/>
      <c r="C29" s="792"/>
      <c r="D29" s="684" t="s">
        <v>306</v>
      </c>
      <c r="E29" s="2229"/>
      <c r="F29" s="635"/>
      <c r="G29" s="636"/>
      <c r="H29" s="635"/>
      <c r="I29" s="635"/>
      <c r="J29" s="635"/>
      <c r="K29" s="635"/>
      <c r="L29" s="635"/>
      <c r="M29" s="635"/>
      <c r="N29" s="637"/>
      <c r="O29" s="635"/>
      <c r="P29" s="638">
        <f>SUM(P30)</f>
        <v>1280000</v>
      </c>
      <c r="Q29" s="638">
        <f>SUM(Q30)</f>
        <v>960000</v>
      </c>
      <c r="R29" s="793">
        <f>+P29-Q29</f>
        <v>320000</v>
      </c>
      <c r="S29" s="873">
        <f>+R29/Q29</f>
        <v>0.33333333333333331</v>
      </c>
      <c r="U29" s="230"/>
    </row>
    <row r="30" spans="1:23" ht="14.65" customHeight="1">
      <c r="A30" s="778"/>
      <c r="B30" s="786"/>
      <c r="C30" s="792"/>
      <c r="D30" s="844"/>
      <c r="E30" s="3637" t="s">
        <v>307</v>
      </c>
      <c r="F30" s="3638"/>
      <c r="G30" s="3638"/>
      <c r="H30" s="3638"/>
      <c r="I30" s="3638"/>
      <c r="J30" s="3638"/>
      <c r="K30" s="3638"/>
      <c r="L30" s="3638"/>
      <c r="M30" s="3638"/>
      <c r="N30" s="3638"/>
      <c r="O30" s="3639"/>
      <c r="P30" s="645">
        <f>O31</f>
        <v>1280000</v>
      </c>
      <c r="Q30" s="645">
        <v>960000</v>
      </c>
      <c r="R30" s="646">
        <f>+P30-Q30</f>
        <v>320000</v>
      </c>
      <c r="S30" s="647">
        <f t="shared" ref="S30" si="6">+R30/Q30</f>
        <v>0.33333333333333331</v>
      </c>
    </row>
    <row r="31" spans="1:23" ht="14.65" customHeight="1">
      <c r="A31" s="778"/>
      <c r="B31" s="786"/>
      <c r="C31" s="792"/>
      <c r="D31" s="786"/>
      <c r="E31" s="3410"/>
      <c r="F31" s="679" t="s">
        <v>158</v>
      </c>
      <c r="G31" s="686"/>
      <c r="H31" s="679"/>
      <c r="I31" s="679"/>
      <c r="J31" s="679"/>
      <c r="K31" s="679"/>
      <c r="L31" s="679"/>
      <c r="M31" s="679"/>
      <c r="N31" s="687"/>
      <c r="O31" s="681">
        <f>SUM(O32:O32)</f>
        <v>1280000</v>
      </c>
      <c r="P31" s="653">
        <v>1280000</v>
      </c>
      <c r="Q31" s="653">
        <v>960000</v>
      </c>
      <c r="R31" s="654">
        <f>+P31-Q31</f>
        <v>320000</v>
      </c>
      <c r="S31" s="688">
        <f t="shared" ref="S31" si="7">+R31/Q31</f>
        <v>0.33333333333333331</v>
      </c>
      <c r="U31" s="48"/>
    </row>
    <row r="32" spans="1:23" ht="14.65" customHeight="1">
      <c r="A32" s="778"/>
      <c r="B32" s="786"/>
      <c r="C32" s="792"/>
      <c r="D32" s="786"/>
      <c r="E32" s="3410"/>
      <c r="F32" s="697" t="s">
        <v>159</v>
      </c>
      <c r="G32" s="880">
        <v>21333</v>
      </c>
      <c r="H32" s="691" t="s">
        <v>21</v>
      </c>
      <c r="I32" s="876">
        <v>5</v>
      </c>
      <c r="J32" s="691" t="s">
        <v>21</v>
      </c>
      <c r="K32" s="881">
        <v>12</v>
      </c>
      <c r="L32" s="691"/>
      <c r="M32" s="691"/>
      <c r="N32" s="701" t="s">
        <v>22</v>
      </c>
      <c r="O32" s="882">
        <f>ROUNDUP(G32*I32*K32,-3)</f>
        <v>1280000</v>
      </c>
      <c r="P32" s="694"/>
      <c r="Q32" s="694"/>
      <c r="R32" s="695"/>
      <c r="S32" s="696"/>
    </row>
    <row r="33" spans="1:21" s="49" customFormat="1" ht="14.65" customHeight="1">
      <c r="A33" s="778"/>
      <c r="B33" s="786"/>
      <c r="C33" s="3685" t="s">
        <v>3180</v>
      </c>
      <c r="D33" s="3686"/>
      <c r="E33" s="3686"/>
      <c r="F33" s="3686"/>
      <c r="G33" s="3686"/>
      <c r="H33" s="3686"/>
      <c r="I33" s="3686"/>
      <c r="J33" s="3686"/>
      <c r="K33" s="3686"/>
      <c r="L33" s="3686"/>
      <c r="M33" s="3686"/>
      <c r="N33" s="3686"/>
      <c r="O33" s="3687"/>
      <c r="P33" s="872">
        <f>SUM(P34,P38,P45)</f>
        <v>87017000</v>
      </c>
      <c r="Q33" s="872">
        <f>SUM(Q34,Q38,Q45)</f>
        <v>238908000</v>
      </c>
      <c r="R33" s="867">
        <f>+P33-Q33</f>
        <v>-151891000</v>
      </c>
      <c r="S33" s="868">
        <f>+R33/Q33</f>
        <v>-0.63577192894335899</v>
      </c>
    </row>
    <row r="34" spans="1:21" s="49" customFormat="1" ht="14.65" customHeight="1">
      <c r="A34" s="778"/>
      <c r="B34" s="786"/>
      <c r="C34" s="792"/>
      <c r="D34" s="684" t="s">
        <v>238</v>
      </c>
      <c r="E34" s="2229"/>
      <c r="F34" s="635"/>
      <c r="G34" s="636"/>
      <c r="H34" s="635"/>
      <c r="I34" s="635"/>
      <c r="J34" s="635"/>
      <c r="K34" s="635"/>
      <c r="L34" s="635"/>
      <c r="M34" s="635"/>
      <c r="N34" s="637"/>
      <c r="O34" s="635"/>
      <c r="P34" s="638">
        <f>P35</f>
        <v>70000</v>
      </c>
      <c r="Q34" s="638">
        <f>Q35</f>
        <v>100000</v>
      </c>
      <c r="R34" s="793">
        <f>+P34-Q34</f>
        <v>-30000</v>
      </c>
      <c r="S34" s="873">
        <f>+R34/Q34</f>
        <v>-0.3</v>
      </c>
      <c r="U34" s="225"/>
    </row>
    <row r="35" spans="1:21" ht="14.65" customHeight="1">
      <c r="A35" s="1130"/>
      <c r="B35" s="846"/>
      <c r="C35" s="780"/>
      <c r="D35" s="2988"/>
      <c r="E35" s="3637" t="s">
        <v>308</v>
      </c>
      <c r="F35" s="3638"/>
      <c r="G35" s="3638"/>
      <c r="H35" s="3638"/>
      <c r="I35" s="3638"/>
      <c r="J35" s="3638"/>
      <c r="K35" s="3638"/>
      <c r="L35" s="3638"/>
      <c r="M35" s="3638"/>
      <c r="N35" s="3638"/>
      <c r="O35" s="3639"/>
      <c r="P35" s="645">
        <f>O36</f>
        <v>70000</v>
      </c>
      <c r="Q35" s="645">
        <v>100000</v>
      </c>
      <c r="R35" s="646">
        <f>+P35-Q35</f>
        <v>-30000</v>
      </c>
      <c r="S35" s="647">
        <f t="shared" ref="S35" si="8">+R35/Q35</f>
        <v>-0.3</v>
      </c>
    </row>
    <row r="36" spans="1:21" ht="14.65" customHeight="1">
      <c r="A36" s="778"/>
      <c r="B36" s="786"/>
      <c r="C36" s="792"/>
      <c r="D36" s="786"/>
      <c r="E36" s="3410"/>
      <c r="F36" s="679" t="s">
        <v>19</v>
      </c>
      <c r="G36" s="686"/>
      <c r="H36" s="679"/>
      <c r="I36" s="679"/>
      <c r="J36" s="679"/>
      <c r="K36" s="679"/>
      <c r="L36" s="679"/>
      <c r="M36" s="679"/>
      <c r="N36" s="687"/>
      <c r="O36" s="681">
        <f>SUM(O37:O37)</f>
        <v>70000</v>
      </c>
      <c r="P36" s="653">
        <v>70000</v>
      </c>
      <c r="Q36" s="653">
        <v>100000</v>
      </c>
      <c r="R36" s="654">
        <f>+P36-Q36</f>
        <v>-30000</v>
      </c>
      <c r="S36" s="688">
        <f t="shared" ref="S36" si="9">+R36/Q36</f>
        <v>-0.3</v>
      </c>
    </row>
    <row r="37" spans="1:21" ht="14.65" customHeight="1">
      <c r="A37" s="778"/>
      <c r="B37" s="786"/>
      <c r="C37" s="792"/>
      <c r="D37" s="846"/>
      <c r="E37" s="3412"/>
      <c r="F37" s="697" t="s">
        <v>20</v>
      </c>
      <c r="G37" s="880">
        <v>70000</v>
      </c>
      <c r="H37" s="691" t="s">
        <v>21</v>
      </c>
      <c r="I37" s="883">
        <v>1</v>
      </c>
      <c r="J37" s="691"/>
      <c r="K37" s="881"/>
      <c r="L37" s="691"/>
      <c r="M37" s="691"/>
      <c r="N37" s="701" t="s">
        <v>22</v>
      </c>
      <c r="O37" s="882">
        <f>G37*I37</f>
        <v>70000</v>
      </c>
      <c r="P37" s="694"/>
      <c r="Q37" s="694"/>
      <c r="R37" s="695"/>
      <c r="S37" s="696"/>
    </row>
    <row r="38" spans="1:21" s="49" customFormat="1" ht="14.65" customHeight="1">
      <c r="A38" s="778"/>
      <c r="B38" s="786"/>
      <c r="C38" s="792"/>
      <c r="D38" s="532" t="s">
        <v>23</v>
      </c>
      <c r="E38" s="2229"/>
      <c r="F38" s="635"/>
      <c r="G38" s="636"/>
      <c r="H38" s="635"/>
      <c r="I38" s="635"/>
      <c r="J38" s="635"/>
      <c r="K38" s="635"/>
      <c r="L38" s="635"/>
      <c r="M38" s="635"/>
      <c r="N38" s="637"/>
      <c r="O38" s="635"/>
      <c r="P38" s="638">
        <f>P39+P42</f>
        <v>0</v>
      </c>
      <c r="Q38" s="638">
        <f>Q39+Q42</f>
        <v>2000000</v>
      </c>
      <c r="R38" s="793">
        <f>+P38-Q38</f>
        <v>-2000000</v>
      </c>
      <c r="S38" s="873">
        <f t="shared" ref="S38" si="10">+R38/Q38</f>
        <v>-1</v>
      </c>
    </row>
    <row r="39" spans="1:21" ht="14.65" customHeight="1">
      <c r="A39" s="778"/>
      <c r="B39" s="786"/>
      <c r="C39" s="792"/>
      <c r="D39" s="844"/>
      <c r="E39" s="3637" t="s">
        <v>309</v>
      </c>
      <c r="F39" s="3638"/>
      <c r="G39" s="3638"/>
      <c r="H39" s="3638"/>
      <c r="I39" s="3638"/>
      <c r="J39" s="3638"/>
      <c r="K39" s="3638"/>
      <c r="L39" s="3638"/>
      <c r="M39" s="3638"/>
      <c r="N39" s="3638"/>
      <c r="O39" s="3639"/>
      <c r="P39" s="645">
        <f>O40</f>
        <v>0</v>
      </c>
      <c r="Q39" s="645">
        <v>2000000</v>
      </c>
      <c r="R39" s="646">
        <f>+P39-Q39</f>
        <v>-2000000</v>
      </c>
      <c r="S39" s="647">
        <f t="shared" ref="S39" si="11">+R39/Q39</f>
        <v>-1</v>
      </c>
    </row>
    <row r="40" spans="1:21" ht="14.65" hidden="1" customHeight="1">
      <c r="A40" s="778"/>
      <c r="B40" s="786"/>
      <c r="C40" s="792"/>
      <c r="D40" s="786"/>
      <c r="E40" s="3413"/>
      <c r="F40" s="543"/>
      <c r="G40" s="914"/>
      <c r="H40" s="915"/>
      <c r="I40" s="915"/>
      <c r="J40" s="915"/>
      <c r="K40" s="915"/>
      <c r="L40" s="915"/>
      <c r="M40" s="915"/>
      <c r="N40" s="916"/>
      <c r="O40" s="917"/>
      <c r="P40" s="887"/>
      <c r="Q40" s="887"/>
      <c r="R40" s="888"/>
      <c r="S40" s="889"/>
    </row>
    <row r="41" spans="1:21" ht="14.65" hidden="1" customHeight="1">
      <c r="A41" s="778"/>
      <c r="B41" s="786"/>
      <c r="C41" s="792"/>
      <c r="D41" s="786"/>
      <c r="E41" s="3432"/>
      <c r="F41" s="918"/>
      <c r="G41" s="919"/>
      <c r="H41" s="863"/>
      <c r="I41" s="920"/>
      <c r="J41" s="863"/>
      <c r="K41" s="921"/>
      <c r="L41" s="863"/>
      <c r="M41" s="863"/>
      <c r="N41" s="922"/>
      <c r="O41" s="923"/>
      <c r="P41" s="866"/>
      <c r="Q41" s="866"/>
      <c r="R41" s="924"/>
      <c r="S41" s="925"/>
    </row>
    <row r="42" spans="1:21" ht="14.65" customHeight="1">
      <c r="A42" s="778"/>
      <c r="B42" s="786"/>
      <c r="C42" s="792"/>
      <c r="D42" s="786"/>
      <c r="E42" s="3637" t="s">
        <v>783</v>
      </c>
      <c r="F42" s="3638"/>
      <c r="G42" s="3638"/>
      <c r="H42" s="3638"/>
      <c r="I42" s="3638"/>
      <c r="J42" s="3638"/>
      <c r="K42" s="3638"/>
      <c r="L42" s="3638"/>
      <c r="M42" s="3638"/>
      <c r="N42" s="3638"/>
      <c r="O42" s="3639"/>
      <c r="P42" s="645">
        <f>O43</f>
        <v>0</v>
      </c>
      <c r="Q42" s="645">
        <v>0</v>
      </c>
      <c r="R42" s="646">
        <f>+P42-Q42</f>
        <v>0</v>
      </c>
      <c r="S42" s="647">
        <v>1</v>
      </c>
    </row>
    <row r="43" spans="1:21" ht="14.65" hidden="1" customHeight="1">
      <c r="A43" s="778"/>
      <c r="B43" s="786"/>
      <c r="C43" s="792"/>
      <c r="D43" s="786"/>
      <c r="E43" s="725"/>
      <c r="F43" s="748"/>
      <c r="G43" s="572"/>
      <c r="H43" s="915"/>
      <c r="I43" s="915"/>
      <c r="J43" s="915"/>
      <c r="K43" s="915"/>
      <c r="L43" s="915"/>
      <c r="M43" s="915"/>
      <c r="N43" s="916"/>
      <c r="O43" s="917"/>
      <c r="P43" s="887"/>
      <c r="Q43" s="887"/>
      <c r="R43" s="888"/>
      <c r="S43" s="889"/>
    </row>
    <row r="44" spans="1:21" ht="14.65" hidden="1" customHeight="1">
      <c r="A44" s="778"/>
      <c r="B44" s="786"/>
      <c r="C44" s="792"/>
      <c r="D44" s="846"/>
      <c r="E44" s="3365"/>
      <c r="F44" s="926"/>
      <c r="G44" s="927"/>
      <c r="H44" s="863"/>
      <c r="I44" s="920"/>
      <c r="J44" s="863"/>
      <c r="K44" s="921"/>
      <c r="L44" s="863"/>
      <c r="M44" s="863"/>
      <c r="N44" s="865"/>
      <c r="O44" s="923"/>
      <c r="P44" s="866"/>
      <c r="Q44" s="866"/>
      <c r="R44" s="924"/>
      <c r="S44" s="925"/>
    </row>
    <row r="45" spans="1:21" s="49" customFormat="1" ht="14.65" customHeight="1">
      <c r="A45" s="778"/>
      <c r="B45" s="786"/>
      <c r="C45" s="792"/>
      <c r="D45" s="684" t="s">
        <v>278</v>
      </c>
      <c r="E45" s="2229"/>
      <c r="F45" s="635"/>
      <c r="G45" s="636"/>
      <c r="H45" s="635"/>
      <c r="I45" s="635"/>
      <c r="J45" s="635"/>
      <c r="K45" s="635"/>
      <c r="L45" s="635"/>
      <c r="M45" s="635"/>
      <c r="N45" s="637"/>
      <c r="O45" s="635"/>
      <c r="P45" s="638">
        <f>P46</f>
        <v>86947000</v>
      </c>
      <c r="Q45" s="638">
        <f>Q46</f>
        <v>236808000</v>
      </c>
      <c r="R45" s="793">
        <f>+P45-Q45</f>
        <v>-149861000</v>
      </c>
      <c r="S45" s="873">
        <f>+R45/Q45</f>
        <v>-0.63283757305496435</v>
      </c>
    </row>
    <row r="46" spans="1:21" ht="14.65" customHeight="1">
      <c r="A46" s="778"/>
      <c r="B46" s="786"/>
      <c r="C46" s="792"/>
      <c r="D46" s="844"/>
      <c r="E46" s="3637" t="s">
        <v>279</v>
      </c>
      <c r="F46" s="3638"/>
      <c r="G46" s="3638"/>
      <c r="H46" s="3638"/>
      <c r="I46" s="3638"/>
      <c r="J46" s="3638"/>
      <c r="K46" s="3638"/>
      <c r="L46" s="3638"/>
      <c r="M46" s="3638"/>
      <c r="N46" s="3638"/>
      <c r="O46" s="3639"/>
      <c r="P46" s="645">
        <f>O47</f>
        <v>86947000</v>
      </c>
      <c r="Q46" s="645">
        <v>236808000</v>
      </c>
      <c r="R46" s="646">
        <f>+P46-Q46</f>
        <v>-149861000</v>
      </c>
      <c r="S46" s="647">
        <f t="shared" ref="S46" si="12">+R46/Q46</f>
        <v>-0.63283757305496435</v>
      </c>
    </row>
    <row r="47" spans="1:21" ht="14.65" customHeight="1">
      <c r="A47" s="778"/>
      <c r="B47" s="786"/>
      <c r="C47" s="792"/>
      <c r="D47" s="786"/>
      <c r="E47" s="844"/>
      <c r="F47" s="679" t="s">
        <v>955</v>
      </c>
      <c r="G47" s="686"/>
      <c r="H47" s="679"/>
      <c r="I47" s="679"/>
      <c r="J47" s="679"/>
      <c r="K47" s="679"/>
      <c r="L47" s="679"/>
      <c r="M47" s="679"/>
      <c r="N47" s="687"/>
      <c r="O47" s="681">
        <f>SUM(O48:O48)</f>
        <v>86947000</v>
      </c>
      <c r="P47" s="653">
        <f>O47</f>
        <v>86947000</v>
      </c>
      <c r="Q47" s="653">
        <v>236808000</v>
      </c>
      <c r="R47" s="654">
        <f>+P47-Q47</f>
        <v>-149861000</v>
      </c>
      <c r="S47" s="688">
        <f t="shared" ref="S47" si="13">+R47/Q47</f>
        <v>-0.63283757305496435</v>
      </c>
    </row>
    <row r="48" spans="1:21" ht="14.65" customHeight="1">
      <c r="A48" s="778"/>
      <c r="B48" s="786"/>
      <c r="C48" s="792"/>
      <c r="D48" s="786"/>
      <c r="E48" s="897"/>
      <c r="F48" s="705" t="s">
        <v>956</v>
      </c>
      <c r="G48" s="893">
        <v>86947000</v>
      </c>
      <c r="H48" s="709" t="s">
        <v>21</v>
      </c>
      <c r="I48" s="894">
        <v>1</v>
      </c>
      <c r="J48" s="709"/>
      <c r="K48" s="895"/>
      <c r="L48" s="709"/>
      <c r="M48" s="709"/>
      <c r="N48" s="710" t="s">
        <v>22</v>
      </c>
      <c r="O48" s="896">
        <f>G48</f>
        <v>86947000</v>
      </c>
      <c r="P48" s="712"/>
      <c r="Q48" s="712"/>
      <c r="R48" s="713"/>
      <c r="S48" s="714"/>
    </row>
    <row r="49" spans="1:19" s="49" customFormat="1" ht="14.65" customHeight="1">
      <c r="A49" s="778"/>
      <c r="B49" s="3685" t="s">
        <v>281</v>
      </c>
      <c r="C49" s="3686"/>
      <c r="D49" s="3686"/>
      <c r="E49" s="3686"/>
      <c r="F49" s="3686"/>
      <c r="G49" s="3686"/>
      <c r="H49" s="3686"/>
      <c r="I49" s="3686"/>
      <c r="J49" s="3686"/>
      <c r="K49" s="3686"/>
      <c r="L49" s="3686"/>
      <c r="M49" s="3686"/>
      <c r="N49" s="3686"/>
      <c r="O49" s="3687"/>
      <c r="P49" s="872">
        <f>P50</f>
        <v>15360000</v>
      </c>
      <c r="Q49" s="872">
        <f>Q50</f>
        <v>18064000</v>
      </c>
      <c r="R49" s="867">
        <f>+P49-Q49</f>
        <v>-2704000</v>
      </c>
      <c r="S49" s="868">
        <f>+R49/Q49</f>
        <v>-0.14968999114260406</v>
      </c>
    </row>
    <row r="50" spans="1:19" ht="14.65" customHeight="1">
      <c r="A50" s="778"/>
      <c r="B50" s="786"/>
      <c r="C50" s="3685" t="s">
        <v>282</v>
      </c>
      <c r="D50" s="3686"/>
      <c r="E50" s="3686"/>
      <c r="F50" s="3686"/>
      <c r="G50" s="3686"/>
      <c r="H50" s="3686"/>
      <c r="I50" s="3686"/>
      <c r="J50" s="3686"/>
      <c r="K50" s="3686"/>
      <c r="L50" s="3686"/>
      <c r="M50" s="3686"/>
      <c r="N50" s="3686"/>
      <c r="O50" s="3687"/>
      <c r="P50" s="872">
        <f>P51</f>
        <v>15360000</v>
      </c>
      <c r="Q50" s="872">
        <f>Q51</f>
        <v>18064000</v>
      </c>
      <c r="R50" s="867">
        <f>+P50-Q50</f>
        <v>-2704000</v>
      </c>
      <c r="S50" s="868">
        <f>+R50/Q50</f>
        <v>-0.14968999114260406</v>
      </c>
    </row>
    <row r="51" spans="1:19" ht="14.65" customHeight="1">
      <c r="A51" s="778"/>
      <c r="B51" s="786"/>
      <c r="C51" s="897"/>
      <c r="D51" s="684" t="s">
        <v>283</v>
      </c>
      <c r="E51" s="2229"/>
      <c r="F51" s="635"/>
      <c r="G51" s="636"/>
      <c r="H51" s="635"/>
      <c r="I51" s="635"/>
      <c r="J51" s="635"/>
      <c r="K51" s="635"/>
      <c r="L51" s="635"/>
      <c r="M51" s="635"/>
      <c r="N51" s="637"/>
      <c r="O51" s="635"/>
      <c r="P51" s="638">
        <f>SUM(P52)</f>
        <v>15360000</v>
      </c>
      <c r="Q51" s="638">
        <f>SUM(Q52)</f>
        <v>18064000</v>
      </c>
      <c r="R51" s="793">
        <f>+P51-Q51</f>
        <v>-2704000</v>
      </c>
      <c r="S51" s="873">
        <f>+R51/Q51</f>
        <v>-0.14968999114260406</v>
      </c>
    </row>
    <row r="52" spans="1:19" ht="14.65" customHeight="1">
      <c r="A52" s="778"/>
      <c r="B52" s="786"/>
      <c r="C52" s="897"/>
      <c r="D52" s="844"/>
      <c r="E52" s="3637" t="s">
        <v>284</v>
      </c>
      <c r="F52" s="3638"/>
      <c r="G52" s="3638"/>
      <c r="H52" s="3638"/>
      <c r="I52" s="3638"/>
      <c r="J52" s="3638"/>
      <c r="K52" s="3638"/>
      <c r="L52" s="3638"/>
      <c r="M52" s="3638"/>
      <c r="N52" s="3638"/>
      <c r="O52" s="3639"/>
      <c r="P52" s="645">
        <f>O53</f>
        <v>15360000</v>
      </c>
      <c r="Q52" s="645">
        <v>18064000</v>
      </c>
      <c r="R52" s="928">
        <f>+P52-Q52</f>
        <v>-2704000</v>
      </c>
      <c r="S52" s="929">
        <f>+R52/Q52</f>
        <v>-0.14968999114260406</v>
      </c>
    </row>
    <row r="53" spans="1:19" ht="14.65" customHeight="1">
      <c r="A53" s="778"/>
      <c r="B53" s="786"/>
      <c r="C53" s="792"/>
      <c r="D53" s="786"/>
      <c r="E53" s="3410"/>
      <c r="F53" s="679" t="s">
        <v>31</v>
      </c>
      <c r="G53" s="686"/>
      <c r="H53" s="679"/>
      <c r="I53" s="679"/>
      <c r="J53" s="679"/>
      <c r="K53" s="679"/>
      <c r="L53" s="679"/>
      <c r="M53" s="679"/>
      <c r="N53" s="687"/>
      <c r="O53" s="681">
        <f>SUM(O54)</f>
        <v>15360000</v>
      </c>
      <c r="P53" s="548">
        <f>O53</f>
        <v>15360000</v>
      </c>
      <c r="Q53" s="653">
        <f>Q52</f>
        <v>18064000</v>
      </c>
      <c r="R53" s="654">
        <f>+P53-Q53</f>
        <v>-2704000</v>
      </c>
      <c r="S53" s="688">
        <f t="shared" ref="S53" si="14">+R53/Q53</f>
        <v>-0.14968999114260406</v>
      </c>
    </row>
    <row r="54" spans="1:19" ht="14.65" customHeight="1" thickBot="1">
      <c r="A54" s="898"/>
      <c r="B54" s="899"/>
      <c r="C54" s="900"/>
      <c r="D54" s="899"/>
      <c r="E54" s="3447"/>
      <c r="F54" s="902" t="s">
        <v>957</v>
      </c>
      <c r="G54" s="903">
        <v>15360000</v>
      </c>
      <c r="H54" s="904" t="s">
        <v>21</v>
      </c>
      <c r="I54" s="905">
        <v>1</v>
      </c>
      <c r="J54" s="904"/>
      <c r="K54" s="906"/>
      <c r="L54" s="904"/>
      <c r="M54" s="904"/>
      <c r="N54" s="907"/>
      <c r="O54" s="908">
        <f>G54</f>
        <v>15360000</v>
      </c>
      <c r="P54" s="909"/>
      <c r="Q54" s="909"/>
      <c r="R54" s="910"/>
      <c r="S54" s="911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>
      <c r="B61" s="13"/>
      <c r="C61" s="13"/>
      <c r="D61" s="13"/>
      <c r="G61" s="13"/>
      <c r="N61" s="13"/>
      <c r="P61" s="13"/>
      <c r="Q61" s="13"/>
      <c r="R61" s="186"/>
      <c r="S61" s="222"/>
    </row>
    <row r="62" spans="1:19" ht="15" customHeight="1">
      <c r="B62" s="13"/>
      <c r="C62" s="13"/>
      <c r="D62" s="13"/>
      <c r="G62" s="13"/>
      <c r="N62" s="13"/>
      <c r="P62" s="13"/>
      <c r="Q62" s="13"/>
      <c r="R62" s="186"/>
      <c r="S62" s="222"/>
    </row>
    <row r="63" spans="1:19" ht="15" customHeight="1">
      <c r="B63" s="13"/>
      <c r="C63" s="13"/>
      <c r="D63" s="13"/>
      <c r="G63" s="13"/>
      <c r="N63" s="13"/>
      <c r="P63" s="13"/>
      <c r="Q63" s="13"/>
      <c r="R63" s="186"/>
      <c r="S63" s="222"/>
    </row>
    <row r="64" spans="1:19" ht="15" customHeight="1">
      <c r="B64" s="13"/>
      <c r="C64" s="13"/>
      <c r="D64" s="13"/>
      <c r="G64" s="13"/>
      <c r="N64" s="13"/>
      <c r="P64" s="13"/>
      <c r="Q64" s="13"/>
      <c r="R64" s="186"/>
      <c r="S64" s="222"/>
    </row>
    <row r="65" spans="2:19" ht="15" customHeight="1">
      <c r="B65" s="13"/>
      <c r="C65" s="13"/>
      <c r="D65" s="13"/>
      <c r="G65" s="13"/>
      <c r="N65" s="13"/>
      <c r="P65" s="13"/>
      <c r="Q65" s="13"/>
      <c r="R65" s="186"/>
      <c r="S65" s="222"/>
    </row>
    <row r="66" spans="2:19" ht="15" customHeight="1">
      <c r="B66" s="13"/>
      <c r="C66" s="13"/>
      <c r="D66" s="13"/>
      <c r="G66" s="13"/>
      <c r="N66" s="13"/>
      <c r="P66" s="13"/>
      <c r="Q66" s="13"/>
      <c r="R66" s="186"/>
      <c r="S66" s="222"/>
    </row>
    <row r="67" spans="2:19" ht="15" customHeight="1">
      <c r="B67" s="13"/>
      <c r="C67" s="13"/>
      <c r="D67" s="13"/>
      <c r="G67" s="13"/>
      <c r="N67" s="13"/>
      <c r="P67" s="13"/>
      <c r="Q67" s="13"/>
      <c r="R67" s="186"/>
      <c r="S67" s="222"/>
    </row>
    <row r="68" spans="2:19" ht="15" customHeight="1">
      <c r="B68" s="13"/>
      <c r="C68" s="13"/>
      <c r="D68" s="13"/>
      <c r="G68" s="13"/>
      <c r="N68" s="13"/>
      <c r="P68" s="13"/>
      <c r="Q68" s="13"/>
      <c r="R68" s="186"/>
      <c r="S68" s="222"/>
    </row>
    <row r="69" spans="2:19" ht="15" customHeight="1">
      <c r="B69" s="13"/>
      <c r="C69" s="13"/>
      <c r="D69" s="13"/>
      <c r="G69" s="13"/>
      <c r="N69" s="13"/>
      <c r="P69" s="13"/>
      <c r="Q69" s="13"/>
      <c r="R69" s="186"/>
      <c r="S69" s="222"/>
    </row>
    <row r="70" spans="2:19" ht="15" customHeight="1">
      <c r="B70" s="13"/>
      <c r="C70" s="13"/>
      <c r="D70" s="13"/>
      <c r="G70" s="13"/>
      <c r="N70" s="13"/>
      <c r="P70" s="13"/>
      <c r="Q70" s="13"/>
      <c r="R70" s="186"/>
      <c r="S70" s="222"/>
    </row>
    <row r="71" spans="2:19" ht="15" customHeight="1">
      <c r="B71" s="13"/>
      <c r="C71" s="13"/>
      <c r="D71" s="13"/>
      <c r="G71" s="13"/>
      <c r="N71" s="13"/>
      <c r="P71" s="13"/>
      <c r="Q71" s="13"/>
      <c r="R71" s="186"/>
      <c r="S71" s="222"/>
    </row>
    <row r="72" spans="2:19" ht="15" customHeight="1">
      <c r="B72" s="13"/>
      <c r="C72" s="13"/>
      <c r="D72" s="13"/>
      <c r="G72" s="13"/>
      <c r="N72" s="13"/>
      <c r="P72" s="13"/>
      <c r="Q72" s="13"/>
      <c r="R72" s="186"/>
      <c r="S72" s="222"/>
    </row>
    <row r="73" spans="2:19" ht="12" customHeight="1">
      <c r="B73" s="13"/>
      <c r="C73" s="13"/>
      <c r="D73" s="13"/>
      <c r="G73" s="13"/>
      <c r="N73" s="13"/>
      <c r="P73" s="13"/>
      <c r="Q73" s="13"/>
      <c r="R73" s="186"/>
      <c r="S73" s="222"/>
    </row>
    <row r="74" spans="2:19" ht="12" customHeight="1">
      <c r="B74" s="13"/>
      <c r="C74" s="13"/>
      <c r="D74" s="13"/>
      <c r="G74" s="13"/>
      <c r="N74" s="13"/>
      <c r="P74" s="13"/>
      <c r="Q74" s="13"/>
      <c r="R74" s="186"/>
      <c r="S74" s="222"/>
    </row>
    <row r="75" spans="2:19" ht="12" customHeight="1">
      <c r="B75" s="13"/>
      <c r="C75" s="13"/>
      <c r="D75" s="13"/>
      <c r="G75" s="13"/>
      <c r="N75" s="13"/>
      <c r="P75" s="13"/>
      <c r="Q75" s="13"/>
      <c r="R75" s="186"/>
      <c r="S75" s="222"/>
    </row>
    <row r="76" spans="2:19" ht="12" customHeight="1">
      <c r="B76" s="13"/>
      <c r="C76" s="13"/>
      <c r="D76" s="13"/>
      <c r="G76" s="13"/>
      <c r="N76" s="13"/>
      <c r="P76" s="13"/>
      <c r="Q76" s="13"/>
      <c r="R76" s="186"/>
      <c r="S76" s="222"/>
    </row>
    <row r="77" spans="2:19" ht="12" customHeight="1">
      <c r="B77" s="13"/>
      <c r="C77" s="13"/>
      <c r="D77" s="13"/>
      <c r="G77" s="13"/>
      <c r="N77" s="13"/>
      <c r="P77" s="13"/>
      <c r="Q77" s="13"/>
      <c r="R77" s="186"/>
      <c r="S77" s="222"/>
    </row>
    <row r="78" spans="2:19" ht="12" customHeight="1">
      <c r="B78" s="13"/>
      <c r="C78" s="13"/>
      <c r="D78" s="13"/>
      <c r="G78" s="13"/>
      <c r="N78" s="13"/>
      <c r="P78" s="13"/>
      <c r="Q78" s="13"/>
      <c r="R78" s="186"/>
      <c r="S78" s="222"/>
    </row>
    <row r="79" spans="2:19" ht="12" customHeight="1">
      <c r="B79" s="13"/>
      <c r="C79" s="13"/>
      <c r="D79" s="13"/>
      <c r="G79" s="13"/>
      <c r="N79" s="13"/>
      <c r="P79" s="13"/>
      <c r="Q79" s="13"/>
      <c r="R79" s="186"/>
      <c r="S79" s="222"/>
    </row>
    <row r="80" spans="2:19" ht="12" customHeight="1">
      <c r="B80" s="13"/>
      <c r="C80" s="13"/>
      <c r="D80" s="13"/>
      <c r="G80" s="13"/>
      <c r="N80" s="13"/>
      <c r="P80" s="13"/>
      <c r="Q80" s="13"/>
      <c r="R80" s="186"/>
      <c r="S80" s="222"/>
    </row>
    <row r="81" spans="2:19" ht="12" customHeight="1">
      <c r="B81" s="13"/>
      <c r="C81" s="13"/>
      <c r="D81" s="13"/>
      <c r="G81" s="13"/>
      <c r="N81" s="13"/>
      <c r="P81" s="13"/>
      <c r="Q81" s="13"/>
      <c r="R81" s="186"/>
      <c r="S81" s="222"/>
    </row>
    <row r="82" spans="2:19" ht="12" customHeight="1">
      <c r="B82" s="13"/>
      <c r="C82" s="13"/>
      <c r="D82" s="13"/>
      <c r="G82" s="13"/>
      <c r="N82" s="13"/>
      <c r="P82" s="13"/>
      <c r="Q82" s="13"/>
      <c r="R82" s="186"/>
      <c r="S82" s="222"/>
    </row>
    <row r="83" spans="2:19" ht="12" customHeight="1">
      <c r="B83" s="13"/>
      <c r="C83" s="13"/>
      <c r="D83" s="13"/>
      <c r="G83" s="13"/>
      <c r="N83" s="13"/>
      <c r="P83" s="13"/>
      <c r="Q83" s="13"/>
      <c r="R83" s="186"/>
      <c r="S83" s="222"/>
    </row>
    <row r="84" spans="2:19" ht="12" customHeight="1">
      <c r="B84" s="13"/>
      <c r="C84" s="13"/>
      <c r="D84" s="13"/>
      <c r="G84" s="13"/>
      <c r="N84" s="13"/>
      <c r="P84" s="13"/>
      <c r="Q84" s="13"/>
      <c r="R84" s="186"/>
      <c r="S84" s="222"/>
    </row>
    <row r="85" spans="2:19" ht="12" customHeight="1">
      <c r="B85" s="13"/>
      <c r="C85" s="13"/>
      <c r="D85" s="13"/>
      <c r="G85" s="13"/>
      <c r="N85" s="13"/>
      <c r="P85" s="13"/>
      <c r="Q85" s="13"/>
      <c r="R85" s="186"/>
      <c r="S85" s="222"/>
    </row>
    <row r="86" spans="2:19" ht="12" customHeight="1">
      <c r="B86" s="13"/>
      <c r="C86" s="13"/>
      <c r="D86" s="13"/>
      <c r="G86" s="13"/>
      <c r="N86" s="13"/>
      <c r="P86" s="13"/>
      <c r="Q86" s="13"/>
      <c r="R86" s="186"/>
      <c r="S86" s="222"/>
    </row>
    <row r="87" spans="2:19" ht="12" customHeight="1">
      <c r="B87" s="13"/>
      <c r="C87" s="13"/>
      <c r="D87" s="13"/>
      <c r="G87" s="13"/>
      <c r="N87" s="13"/>
      <c r="P87" s="13"/>
      <c r="Q87" s="13"/>
      <c r="R87" s="186"/>
      <c r="S87" s="222"/>
    </row>
    <row r="88" spans="2:19" ht="12" customHeight="1">
      <c r="B88" s="13"/>
      <c r="C88" s="13"/>
      <c r="D88" s="13"/>
      <c r="G88" s="13"/>
      <c r="N88" s="13"/>
      <c r="P88" s="13"/>
      <c r="Q88" s="13"/>
      <c r="R88" s="186"/>
      <c r="S88" s="222"/>
    </row>
    <row r="89" spans="2:19" ht="12" customHeight="1">
      <c r="B89" s="13"/>
      <c r="C89" s="13"/>
      <c r="D89" s="13"/>
      <c r="G89" s="13"/>
      <c r="N89" s="13"/>
      <c r="P89" s="13"/>
      <c r="Q89" s="13"/>
      <c r="R89" s="186"/>
      <c r="S89" s="222"/>
    </row>
    <row r="90" spans="2:19" ht="12" customHeight="1">
      <c r="B90" s="13"/>
      <c r="C90" s="13"/>
      <c r="D90" s="13"/>
      <c r="G90" s="13"/>
      <c r="N90" s="13"/>
      <c r="P90" s="13"/>
      <c r="Q90" s="13"/>
      <c r="R90" s="186"/>
      <c r="S90" s="222"/>
    </row>
    <row r="91" spans="2:19" ht="12" customHeight="1">
      <c r="B91" s="13"/>
      <c r="C91" s="13"/>
      <c r="D91" s="13"/>
      <c r="G91" s="13"/>
      <c r="N91" s="13"/>
      <c r="P91" s="13"/>
      <c r="Q91" s="13"/>
      <c r="R91" s="186"/>
      <c r="S91" s="222"/>
    </row>
    <row r="92" spans="2:19" ht="12" customHeight="1">
      <c r="B92" s="13"/>
      <c r="C92" s="13"/>
      <c r="D92" s="13"/>
      <c r="G92" s="13"/>
      <c r="N92" s="13"/>
      <c r="P92" s="13"/>
      <c r="Q92" s="13"/>
      <c r="R92" s="186"/>
      <c r="S92" s="222"/>
    </row>
    <row r="93" spans="2:19" ht="12" customHeight="1">
      <c r="B93" s="13"/>
      <c r="C93" s="13"/>
      <c r="D93" s="13"/>
      <c r="G93" s="13"/>
      <c r="N93" s="13"/>
      <c r="P93" s="13"/>
      <c r="Q93" s="13"/>
      <c r="R93" s="186"/>
      <c r="S93" s="222"/>
    </row>
    <row r="94" spans="2:19" ht="12" customHeight="1">
      <c r="B94" s="13"/>
      <c r="C94" s="13"/>
      <c r="D94" s="13"/>
      <c r="G94" s="13"/>
      <c r="N94" s="13"/>
      <c r="P94" s="13"/>
      <c r="Q94" s="13"/>
      <c r="R94" s="186"/>
      <c r="S94" s="222"/>
    </row>
    <row r="95" spans="2:19" ht="12" customHeight="1">
      <c r="B95" s="13"/>
      <c r="C95" s="13"/>
      <c r="D95" s="13"/>
      <c r="G95" s="13"/>
      <c r="N95" s="13"/>
      <c r="P95" s="13"/>
      <c r="Q95" s="13"/>
      <c r="R95" s="186"/>
      <c r="S95" s="222"/>
    </row>
    <row r="96" spans="2:19" ht="12" customHeight="1">
      <c r="B96" s="13"/>
      <c r="C96" s="13"/>
      <c r="D96" s="13"/>
      <c r="G96" s="13"/>
      <c r="N96" s="13"/>
      <c r="P96" s="13"/>
      <c r="Q96" s="13"/>
      <c r="R96" s="186"/>
      <c r="S96" s="222"/>
    </row>
    <row r="97" spans="2:19" ht="12" customHeight="1">
      <c r="B97" s="13"/>
      <c r="C97" s="13"/>
      <c r="D97" s="13"/>
      <c r="G97" s="13"/>
      <c r="N97" s="13"/>
      <c r="P97" s="13"/>
      <c r="Q97" s="13"/>
      <c r="R97" s="186"/>
      <c r="S97" s="222"/>
    </row>
    <row r="98" spans="2:19" ht="12" customHeight="1">
      <c r="B98" s="13"/>
      <c r="C98" s="13"/>
      <c r="D98" s="13"/>
      <c r="G98" s="13"/>
      <c r="N98" s="13"/>
      <c r="P98" s="13"/>
      <c r="Q98" s="13"/>
      <c r="R98" s="186"/>
      <c r="S98" s="222"/>
    </row>
    <row r="99" spans="2:19" ht="12" customHeight="1">
      <c r="B99" s="13"/>
      <c r="C99" s="13"/>
      <c r="D99" s="13"/>
      <c r="G99" s="13"/>
      <c r="N99" s="13"/>
      <c r="P99" s="13"/>
      <c r="Q99" s="13"/>
      <c r="R99" s="186"/>
      <c r="S99" s="222"/>
    </row>
    <row r="100" spans="2:19" ht="12" customHeight="1">
      <c r="B100" s="13"/>
      <c r="C100" s="13"/>
      <c r="D100" s="13"/>
      <c r="G100" s="13"/>
      <c r="N100" s="13"/>
      <c r="P100" s="13"/>
      <c r="Q100" s="13"/>
      <c r="R100" s="186"/>
      <c r="S100" s="222"/>
    </row>
    <row r="101" spans="2:19" ht="12" customHeight="1">
      <c r="B101" s="13"/>
      <c r="C101" s="13"/>
      <c r="D101" s="13"/>
      <c r="G101" s="13"/>
      <c r="N101" s="13"/>
      <c r="P101" s="13"/>
      <c r="Q101" s="13"/>
      <c r="R101" s="186"/>
      <c r="S101" s="222"/>
    </row>
    <row r="102" spans="2:19" ht="12" customHeight="1">
      <c r="B102" s="13"/>
      <c r="C102" s="13"/>
      <c r="D102" s="13"/>
      <c r="G102" s="13"/>
      <c r="N102" s="13"/>
      <c r="P102" s="13"/>
      <c r="Q102" s="13"/>
      <c r="R102" s="186"/>
      <c r="S102" s="222"/>
    </row>
    <row r="103" spans="2:19" ht="12" customHeight="1">
      <c r="B103" s="13"/>
      <c r="C103" s="13"/>
      <c r="D103" s="13"/>
      <c r="G103" s="13"/>
      <c r="N103" s="13"/>
      <c r="P103" s="13"/>
      <c r="Q103" s="13"/>
      <c r="R103" s="186"/>
      <c r="S103" s="222"/>
    </row>
    <row r="104" spans="2:19" ht="12" customHeight="1">
      <c r="B104" s="13"/>
      <c r="C104" s="13"/>
      <c r="D104" s="13"/>
      <c r="G104" s="13"/>
      <c r="N104" s="13"/>
      <c r="P104" s="13"/>
      <c r="Q104" s="13"/>
      <c r="R104" s="186"/>
      <c r="S104" s="222"/>
    </row>
    <row r="105" spans="2:19" ht="12" customHeight="1">
      <c r="B105" s="13"/>
      <c r="C105" s="13"/>
      <c r="D105" s="13"/>
      <c r="G105" s="13"/>
      <c r="N105" s="13"/>
      <c r="P105" s="13"/>
      <c r="Q105" s="13"/>
      <c r="R105" s="186"/>
      <c r="S105" s="222"/>
    </row>
    <row r="106" spans="2:19" ht="12" customHeight="1">
      <c r="B106" s="13"/>
      <c r="C106" s="13"/>
      <c r="D106" s="13"/>
      <c r="G106" s="13"/>
      <c r="N106" s="13"/>
      <c r="P106" s="13"/>
      <c r="Q106" s="13"/>
      <c r="R106" s="186"/>
      <c r="S106" s="222"/>
    </row>
    <row r="107" spans="2:19" ht="12" customHeight="1">
      <c r="B107" s="13"/>
      <c r="C107" s="13"/>
      <c r="D107" s="13"/>
      <c r="G107" s="13"/>
      <c r="N107" s="13"/>
      <c r="P107" s="13"/>
      <c r="Q107" s="13"/>
      <c r="R107" s="186"/>
      <c r="S107" s="222"/>
    </row>
    <row r="108" spans="2:19" ht="12" customHeight="1">
      <c r="B108" s="13"/>
      <c r="C108" s="13"/>
      <c r="D108" s="13"/>
      <c r="G108" s="13"/>
      <c r="N108" s="13"/>
      <c r="P108" s="13"/>
      <c r="Q108" s="13"/>
      <c r="R108" s="186"/>
      <c r="S108" s="222"/>
    </row>
    <row r="109" spans="2:19" ht="12" customHeight="1">
      <c r="B109" s="13"/>
      <c r="C109" s="13"/>
      <c r="D109" s="13"/>
      <c r="G109" s="13"/>
      <c r="N109" s="13"/>
      <c r="P109" s="13"/>
      <c r="Q109" s="13"/>
      <c r="R109" s="186"/>
      <c r="S109" s="222"/>
    </row>
    <row r="110" spans="2:19" ht="12" customHeight="1">
      <c r="B110" s="13"/>
      <c r="C110" s="13"/>
      <c r="D110" s="13"/>
      <c r="G110" s="13"/>
      <c r="N110" s="13"/>
      <c r="P110" s="13"/>
      <c r="Q110" s="13"/>
      <c r="R110" s="186"/>
      <c r="S110" s="222"/>
    </row>
    <row r="111" spans="2:19" ht="12" customHeight="1">
      <c r="B111" s="13"/>
      <c r="C111" s="13"/>
      <c r="D111" s="13"/>
      <c r="G111" s="13"/>
      <c r="N111" s="13"/>
      <c r="P111" s="13"/>
      <c r="Q111" s="13"/>
      <c r="R111" s="186"/>
      <c r="S111" s="222"/>
    </row>
    <row r="112" spans="2:19" ht="12" customHeight="1">
      <c r="B112" s="13"/>
      <c r="C112" s="13"/>
      <c r="D112" s="13"/>
      <c r="G112" s="13"/>
      <c r="N112" s="13"/>
      <c r="P112" s="13"/>
      <c r="Q112" s="13"/>
      <c r="R112" s="186"/>
      <c r="S112" s="222"/>
    </row>
    <row r="113" spans="2:19" ht="12" customHeight="1">
      <c r="B113" s="13"/>
      <c r="C113" s="13"/>
      <c r="D113" s="13"/>
      <c r="G113" s="13"/>
      <c r="N113" s="13"/>
      <c r="P113" s="13"/>
      <c r="Q113" s="13"/>
      <c r="R113" s="186"/>
      <c r="S113" s="222"/>
    </row>
    <row r="114" spans="2:19" ht="12" customHeight="1">
      <c r="B114" s="13"/>
      <c r="C114" s="13"/>
      <c r="D114" s="13"/>
      <c r="G114" s="13"/>
      <c r="N114" s="13"/>
      <c r="P114" s="13"/>
      <c r="Q114" s="13"/>
      <c r="R114" s="186"/>
      <c r="S114" s="222"/>
    </row>
    <row r="115" spans="2:19" ht="12" customHeight="1">
      <c r="B115" s="13"/>
      <c r="C115" s="13"/>
      <c r="D115" s="13"/>
      <c r="G115" s="13"/>
      <c r="N115" s="13"/>
      <c r="P115" s="13"/>
      <c r="Q115" s="13"/>
      <c r="R115" s="186"/>
      <c r="S115" s="222"/>
    </row>
    <row r="116" spans="2:19" ht="12" customHeight="1">
      <c r="B116" s="13"/>
      <c r="C116" s="13"/>
      <c r="D116" s="13"/>
      <c r="G116" s="13"/>
      <c r="N116" s="13"/>
      <c r="P116" s="13"/>
      <c r="Q116" s="13"/>
      <c r="R116" s="186"/>
      <c r="S116" s="222"/>
    </row>
    <row r="117" spans="2:19" ht="12" customHeight="1">
      <c r="B117" s="13"/>
      <c r="C117" s="13"/>
      <c r="D117" s="13"/>
      <c r="G117" s="13"/>
      <c r="N117" s="13"/>
      <c r="P117" s="13"/>
      <c r="Q117" s="13"/>
      <c r="R117" s="186"/>
      <c r="S117" s="222"/>
    </row>
    <row r="118" spans="2:19" ht="12" customHeight="1">
      <c r="B118" s="13"/>
      <c r="C118" s="13"/>
      <c r="D118" s="13"/>
      <c r="G118" s="13"/>
      <c r="N118" s="13"/>
      <c r="P118" s="13"/>
      <c r="Q118" s="13"/>
      <c r="R118" s="186"/>
      <c r="S118" s="222"/>
    </row>
    <row r="119" spans="2:19" ht="12" customHeight="1">
      <c r="B119" s="13"/>
      <c r="C119" s="13"/>
      <c r="D119" s="13"/>
      <c r="G119" s="13"/>
      <c r="N119" s="13"/>
      <c r="P119" s="13"/>
      <c r="Q119" s="13"/>
      <c r="R119" s="186"/>
      <c r="S119" s="222"/>
    </row>
    <row r="120" spans="2:19" ht="12" customHeight="1">
      <c r="B120" s="13"/>
      <c r="C120" s="13"/>
      <c r="D120" s="13"/>
      <c r="G120" s="13"/>
      <c r="N120" s="13"/>
      <c r="P120" s="13"/>
      <c r="Q120" s="13"/>
      <c r="R120" s="186"/>
      <c r="S120" s="222"/>
    </row>
    <row r="121" spans="2:19" ht="12" customHeight="1">
      <c r="B121" s="13"/>
      <c r="C121" s="13"/>
      <c r="D121" s="13"/>
      <c r="G121" s="13"/>
      <c r="N121" s="13"/>
      <c r="P121" s="13"/>
      <c r="Q121" s="13"/>
      <c r="R121" s="186"/>
      <c r="S121" s="222"/>
    </row>
    <row r="122" spans="2:19" ht="12" customHeight="1">
      <c r="B122" s="13"/>
      <c r="C122" s="13"/>
      <c r="D122" s="13"/>
      <c r="G122" s="13"/>
      <c r="N122" s="13"/>
      <c r="P122" s="13"/>
      <c r="Q122" s="13"/>
      <c r="R122" s="186"/>
      <c r="S122" s="222"/>
    </row>
    <row r="123" spans="2:19" ht="12" customHeight="1">
      <c r="B123" s="13"/>
      <c r="C123" s="13"/>
      <c r="D123" s="13"/>
      <c r="G123" s="13"/>
      <c r="N123" s="13"/>
      <c r="P123" s="13"/>
      <c r="Q123" s="13"/>
      <c r="R123" s="186"/>
      <c r="S123" s="222"/>
    </row>
    <row r="124" spans="2:19" ht="12" customHeight="1">
      <c r="B124" s="13"/>
      <c r="C124" s="13"/>
      <c r="D124" s="13"/>
      <c r="G124" s="13"/>
      <c r="N124" s="13"/>
      <c r="P124" s="13"/>
      <c r="Q124" s="13"/>
      <c r="R124" s="186"/>
      <c r="S124" s="222"/>
    </row>
    <row r="125" spans="2:19" ht="12" customHeight="1">
      <c r="B125" s="13"/>
      <c r="C125" s="13"/>
      <c r="D125" s="13"/>
      <c r="G125" s="13"/>
      <c r="N125" s="13"/>
      <c r="P125" s="13"/>
      <c r="Q125" s="13"/>
      <c r="R125" s="186"/>
      <c r="S125" s="222"/>
    </row>
    <row r="126" spans="2:19" ht="12" customHeight="1">
      <c r="B126" s="13"/>
      <c r="C126" s="13"/>
      <c r="D126" s="13"/>
      <c r="G126" s="13"/>
      <c r="N126" s="13"/>
      <c r="P126" s="13"/>
      <c r="Q126" s="13"/>
      <c r="R126" s="186"/>
      <c r="S126" s="222"/>
    </row>
    <row r="127" spans="2:19" ht="12" customHeight="1">
      <c r="B127" s="13"/>
      <c r="C127" s="13"/>
      <c r="D127" s="13"/>
      <c r="G127" s="13"/>
      <c r="N127" s="13"/>
      <c r="P127" s="13"/>
      <c r="Q127" s="13"/>
      <c r="R127" s="186"/>
      <c r="S127" s="222"/>
    </row>
  </sheetData>
  <mergeCells count="21">
    <mergeCell ref="A1:S1"/>
    <mergeCell ref="R2:S2"/>
    <mergeCell ref="A3:E3"/>
    <mergeCell ref="G3:O4"/>
    <mergeCell ref="P3:P4"/>
    <mergeCell ref="Q3:Q4"/>
    <mergeCell ref="R3:R4"/>
    <mergeCell ref="S3:S4"/>
    <mergeCell ref="E52:O52"/>
    <mergeCell ref="C50:O50"/>
    <mergeCell ref="C33:O33"/>
    <mergeCell ref="E9:O9"/>
    <mergeCell ref="E27:O27"/>
    <mergeCell ref="E30:O30"/>
    <mergeCell ref="E35:O35"/>
    <mergeCell ref="E39:O39"/>
    <mergeCell ref="C7:O7"/>
    <mergeCell ref="B49:O49"/>
    <mergeCell ref="B6:O6"/>
    <mergeCell ref="E42:O42"/>
    <mergeCell ref="E46:O4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0" orientation="landscape" r:id="rId1"/>
  <headerFooter scaleWithDoc="0"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99FF"/>
    <pageSetUpPr fitToPage="1"/>
  </sheetPr>
  <dimension ref="A1:W101"/>
  <sheetViews>
    <sheetView view="pageBreakPreview" zoomScale="85" zoomScaleNormal="85" zoomScaleSheetLayoutView="85" workbookViewId="0">
      <pane xSplit="3" ySplit="7" topLeftCell="D8" activePane="bottomRight" state="frozen"/>
      <selection activeCell="O40" sqref="O39:O40"/>
      <selection pane="topRight" activeCell="O40" sqref="O39:O40"/>
      <selection pane="bottomLeft" activeCell="O40" sqref="O39:O40"/>
      <selection pane="bottomRight" activeCell="F44" sqref="F44"/>
    </sheetView>
  </sheetViews>
  <sheetFormatPr defaultColWidth="9" defaultRowHeight="16.5"/>
  <cols>
    <col min="1" max="1" width="3.625" style="932" customWidth="1"/>
    <col min="2" max="4" width="3.625" style="931" customWidth="1"/>
    <col min="5" max="5" width="10.625" style="3446" customWidth="1"/>
    <col min="6" max="6" width="20.625" style="932" customWidth="1"/>
    <col min="7" max="7" width="13.375" style="933" bestFit="1" customWidth="1"/>
    <col min="8" max="8" width="2.125" style="932" customWidth="1"/>
    <col min="9" max="9" width="6.125" style="932" bestFit="1" customWidth="1"/>
    <col min="10" max="10" width="2.125" style="932" customWidth="1"/>
    <col min="11" max="11" width="4.875" style="932" bestFit="1" customWidth="1"/>
    <col min="12" max="12" width="2.75" style="932" customWidth="1"/>
    <col min="13" max="13" width="4.875" style="932" bestFit="1" customWidth="1"/>
    <col min="14" max="14" width="2.625" style="934" customWidth="1"/>
    <col min="15" max="15" width="12.625" style="932" customWidth="1"/>
    <col min="16" max="16" width="10.625" style="935" customWidth="1"/>
    <col min="17" max="17" width="10.625" style="936" customWidth="1"/>
    <col min="18" max="18" width="10.625" style="1254" customWidth="1"/>
    <col min="19" max="19" width="10.625" style="1255" customWidth="1"/>
    <col min="20" max="20" width="9" style="932"/>
    <col min="21" max="21" width="10.75" style="932" bestFit="1" customWidth="1"/>
    <col min="22" max="22" width="9" style="932"/>
    <col min="23" max="23" width="9.125" style="932" bestFit="1" customWidth="1"/>
    <col min="24" max="16384" width="9" style="932"/>
  </cols>
  <sheetData>
    <row r="1" spans="1:23" s="930" customFormat="1" ht="35.1" customHeight="1">
      <c r="A1" s="3679" t="s">
        <v>2088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</row>
    <row r="2" spans="1:23" ht="15" customHeight="1" thickBot="1">
      <c r="A2" s="930" t="s">
        <v>322</v>
      </c>
      <c r="B2" s="962"/>
      <c r="C2" s="962"/>
      <c r="D2" s="962"/>
      <c r="E2" s="648"/>
      <c r="F2" s="930"/>
      <c r="G2" s="963"/>
      <c r="H2" s="930"/>
      <c r="I2" s="930"/>
      <c r="J2" s="930"/>
      <c r="K2" s="930"/>
      <c r="L2" s="930"/>
      <c r="M2" s="930"/>
      <c r="N2" s="964"/>
      <c r="O2" s="930"/>
      <c r="P2" s="965"/>
      <c r="Q2" s="966"/>
      <c r="R2" s="3661" t="s">
        <v>323</v>
      </c>
      <c r="S2" s="3661"/>
    </row>
    <row r="3" spans="1:23" s="964" customFormat="1" ht="15" customHeight="1">
      <c r="A3" s="3662" t="s">
        <v>324</v>
      </c>
      <c r="B3" s="3663"/>
      <c r="C3" s="3663"/>
      <c r="D3" s="3663"/>
      <c r="E3" s="3663"/>
      <c r="F3" s="605"/>
      <c r="G3" s="3664" t="s">
        <v>325</v>
      </c>
      <c r="H3" s="3664"/>
      <c r="I3" s="3664"/>
      <c r="J3" s="3664"/>
      <c r="K3" s="3664"/>
      <c r="L3" s="3664"/>
      <c r="M3" s="3664"/>
      <c r="N3" s="3664"/>
      <c r="O3" s="3665"/>
      <c r="P3" s="3668" t="s">
        <v>4</v>
      </c>
      <c r="Q3" s="3670" t="s">
        <v>326</v>
      </c>
      <c r="R3" s="3672" t="s">
        <v>5</v>
      </c>
      <c r="S3" s="3683" t="s">
        <v>6</v>
      </c>
    </row>
    <row r="4" spans="1:23" s="964" customFormat="1" ht="15" customHeight="1" thickBot="1">
      <c r="A4" s="606" t="s">
        <v>327</v>
      </c>
      <c r="B4" s="607" t="s">
        <v>328</v>
      </c>
      <c r="C4" s="607" t="s">
        <v>329</v>
      </c>
      <c r="D4" s="607" t="s">
        <v>330</v>
      </c>
      <c r="E4" s="607" t="s">
        <v>331</v>
      </c>
      <c r="F4" s="608" t="s">
        <v>332</v>
      </c>
      <c r="G4" s="3666"/>
      <c r="H4" s="3666"/>
      <c r="I4" s="3666"/>
      <c r="J4" s="3666"/>
      <c r="K4" s="3666"/>
      <c r="L4" s="3666"/>
      <c r="M4" s="3666"/>
      <c r="N4" s="3666"/>
      <c r="O4" s="3667"/>
      <c r="P4" s="3669"/>
      <c r="Q4" s="3671"/>
      <c r="R4" s="3673"/>
      <c r="S4" s="3684"/>
    </row>
    <row r="5" spans="1:23" s="962" customFormat="1" ht="15" customHeight="1" thickBot="1">
      <c r="A5" s="609" t="s">
        <v>333</v>
      </c>
      <c r="B5" s="610"/>
      <c r="C5" s="611"/>
      <c r="D5" s="611"/>
      <c r="E5" s="611"/>
      <c r="F5" s="611"/>
      <c r="G5" s="612"/>
      <c r="H5" s="611"/>
      <c r="I5" s="611"/>
      <c r="J5" s="611"/>
      <c r="K5" s="611"/>
      <c r="L5" s="611"/>
      <c r="M5" s="611"/>
      <c r="N5" s="613"/>
      <c r="O5" s="611"/>
      <c r="P5" s="614">
        <f>P6+P24</f>
        <v>16051000</v>
      </c>
      <c r="Q5" s="614">
        <f>Q6+Q24</f>
        <v>106242000</v>
      </c>
      <c r="R5" s="937">
        <f>R6+R24</f>
        <v>-90191000</v>
      </c>
      <c r="S5" s="938">
        <f>+R5/Q5</f>
        <v>-0.84892038929990021</v>
      </c>
      <c r="T5" s="1240"/>
      <c r="U5" s="962">
        <v>16051000</v>
      </c>
      <c r="W5" s="1241">
        <f>P5-U5</f>
        <v>0</v>
      </c>
    </row>
    <row r="6" spans="1:23" s="930" customFormat="1" ht="15" customHeight="1">
      <c r="A6" s="617"/>
      <c r="B6" s="3657" t="s">
        <v>3183</v>
      </c>
      <c r="C6" s="3658"/>
      <c r="D6" s="3658"/>
      <c r="E6" s="3658"/>
      <c r="F6" s="3658"/>
      <c r="G6" s="3658"/>
      <c r="H6" s="3658"/>
      <c r="I6" s="3658"/>
      <c r="J6" s="3658"/>
      <c r="K6" s="3658"/>
      <c r="L6" s="3658"/>
      <c r="M6" s="3658"/>
      <c r="N6" s="3658"/>
      <c r="O6" s="3659"/>
      <c r="P6" s="941">
        <f>SUM(P7,P11)</f>
        <v>16051000</v>
      </c>
      <c r="Q6" s="941">
        <f>SUM(Q7,Q11)</f>
        <v>103760000</v>
      </c>
      <c r="R6" s="942">
        <f>+P6-Q6</f>
        <v>-87709000</v>
      </c>
      <c r="S6" s="943">
        <f>+R6/Q6</f>
        <v>-0.84530647648419432</v>
      </c>
    </row>
    <row r="7" spans="1:23" s="930" customFormat="1" ht="15" customHeight="1">
      <c r="A7" s="617"/>
      <c r="B7" s="626"/>
      <c r="C7" s="3657" t="s">
        <v>150</v>
      </c>
      <c r="D7" s="3658"/>
      <c r="E7" s="3658"/>
      <c r="F7" s="3658"/>
      <c r="G7" s="3658"/>
      <c r="H7" s="3658"/>
      <c r="I7" s="3658"/>
      <c r="J7" s="3658"/>
      <c r="K7" s="3658"/>
      <c r="L7" s="3658"/>
      <c r="M7" s="3658"/>
      <c r="N7" s="3658"/>
      <c r="O7" s="3659"/>
      <c r="P7" s="946">
        <f>SUM(P8)</f>
        <v>0</v>
      </c>
      <c r="Q7" s="946">
        <f>SUM(Q8)</f>
        <v>1480000</v>
      </c>
      <c r="R7" s="942">
        <f>+P7-Q7</f>
        <v>-1480000</v>
      </c>
      <c r="S7" s="943">
        <f>+R7/Q7</f>
        <v>-1</v>
      </c>
    </row>
    <row r="8" spans="1:23" s="930" customFormat="1" ht="15" customHeight="1">
      <c r="A8" s="617"/>
      <c r="B8" s="632"/>
      <c r="C8" s="719"/>
      <c r="D8" s="684" t="s">
        <v>334</v>
      </c>
      <c r="E8" s="2229"/>
      <c r="F8" s="635"/>
      <c r="G8" s="636"/>
      <c r="H8" s="635"/>
      <c r="I8" s="635"/>
      <c r="J8" s="635"/>
      <c r="K8" s="635"/>
      <c r="L8" s="635"/>
      <c r="M8" s="635"/>
      <c r="N8" s="637"/>
      <c r="O8" s="635"/>
      <c r="P8" s="638">
        <f>SUM(P9:P10)</f>
        <v>0</v>
      </c>
      <c r="Q8" s="638">
        <f>SUM(Q9:Q10)</f>
        <v>1480000</v>
      </c>
      <c r="R8" s="793">
        <f>+P8-Q8</f>
        <v>-1480000</v>
      </c>
      <c r="S8" s="794">
        <f>+R8/Q8</f>
        <v>-1</v>
      </c>
    </row>
    <row r="9" spans="1:23" ht="15" customHeight="1">
      <c r="A9" s="617"/>
      <c r="B9" s="632"/>
      <c r="C9" s="719"/>
      <c r="D9" s="626"/>
      <c r="E9" s="3637" t="s">
        <v>335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645">
        <f>ROUNDUP((O10),-3)</f>
        <v>0</v>
      </c>
      <c r="Q9" s="645">
        <v>1480000</v>
      </c>
      <c r="R9" s="646">
        <f>+P9-Q9</f>
        <v>-1480000</v>
      </c>
      <c r="S9" s="798">
        <f>+R9/Q9</f>
        <v>-1</v>
      </c>
    </row>
    <row r="10" spans="1:23" ht="15" hidden="1" customHeight="1">
      <c r="A10" s="617"/>
      <c r="B10" s="632"/>
      <c r="C10" s="719"/>
      <c r="D10" s="703"/>
      <c r="E10" s="3442"/>
      <c r="F10" s="648" t="s">
        <v>336</v>
      </c>
      <c r="G10" s="967"/>
      <c r="H10" s="648"/>
      <c r="I10" s="968"/>
      <c r="J10" s="648"/>
      <c r="K10" s="969"/>
      <c r="L10" s="648"/>
      <c r="M10" s="648"/>
      <c r="N10" s="817"/>
      <c r="O10" s="970"/>
      <c r="P10" s="743"/>
      <c r="Q10" s="743"/>
      <c r="R10" s="971"/>
      <c r="S10" s="972"/>
    </row>
    <row r="11" spans="1:23" s="930" customFormat="1" ht="15" customHeight="1">
      <c r="A11" s="617"/>
      <c r="B11" s="632"/>
      <c r="C11" s="3657" t="s">
        <v>165</v>
      </c>
      <c r="D11" s="3658"/>
      <c r="E11" s="3658"/>
      <c r="F11" s="3658"/>
      <c r="G11" s="3658"/>
      <c r="H11" s="3658"/>
      <c r="I11" s="3658"/>
      <c r="J11" s="3658"/>
      <c r="K11" s="3658"/>
      <c r="L11" s="3658"/>
      <c r="M11" s="3658"/>
      <c r="N11" s="3658"/>
      <c r="O11" s="3659"/>
      <c r="P11" s="946">
        <f>P12+P20+P16</f>
        <v>16051000</v>
      </c>
      <c r="Q11" s="946">
        <f>SUM(Q12,Q16,Q20)</f>
        <v>102280000</v>
      </c>
      <c r="R11" s="942">
        <f>+P11-Q11</f>
        <v>-86229000</v>
      </c>
      <c r="S11" s="943">
        <f>+R11/Q11</f>
        <v>-0.84306804849432926</v>
      </c>
    </row>
    <row r="12" spans="1:23" s="930" customFormat="1" ht="15" customHeight="1">
      <c r="A12" s="617"/>
      <c r="B12" s="632"/>
      <c r="C12" s="719"/>
      <c r="D12" s="684" t="s">
        <v>337</v>
      </c>
      <c r="E12" s="2229"/>
      <c r="F12" s="635"/>
      <c r="G12" s="636"/>
      <c r="H12" s="635"/>
      <c r="I12" s="635"/>
      <c r="J12" s="635"/>
      <c r="K12" s="635"/>
      <c r="L12" s="635"/>
      <c r="M12" s="635"/>
      <c r="N12" s="637"/>
      <c r="O12" s="635"/>
      <c r="P12" s="638">
        <f>P13</f>
        <v>10000</v>
      </c>
      <c r="Q12" s="638">
        <f>Q13</f>
        <v>10000</v>
      </c>
      <c r="R12" s="793">
        <f>+P12-Q12</f>
        <v>0</v>
      </c>
      <c r="S12" s="794">
        <f>+R12/Q12</f>
        <v>0</v>
      </c>
    </row>
    <row r="13" spans="1:23" ht="15" customHeight="1">
      <c r="A13" s="617"/>
      <c r="B13" s="632"/>
      <c r="C13" s="719"/>
      <c r="D13" s="626"/>
      <c r="E13" s="3637" t="s">
        <v>338</v>
      </c>
      <c r="F13" s="3638"/>
      <c r="G13" s="3638"/>
      <c r="H13" s="3638"/>
      <c r="I13" s="3638"/>
      <c r="J13" s="3638"/>
      <c r="K13" s="3638"/>
      <c r="L13" s="3638"/>
      <c r="M13" s="3638"/>
      <c r="N13" s="3638"/>
      <c r="O13" s="3639"/>
      <c r="P13" s="645">
        <f>ROUNDUP(O14,-3)</f>
        <v>10000</v>
      </c>
      <c r="Q13" s="645">
        <v>10000</v>
      </c>
      <c r="R13" s="646">
        <f>+P13-Q13</f>
        <v>0</v>
      </c>
      <c r="S13" s="798">
        <f>+R13/Q13</f>
        <v>0</v>
      </c>
    </row>
    <row r="14" spans="1:23" ht="15" customHeight="1">
      <c r="A14" s="617"/>
      <c r="B14" s="632"/>
      <c r="C14" s="719"/>
      <c r="D14" s="632"/>
      <c r="E14" s="3442"/>
      <c r="F14" s="679" t="s">
        <v>19</v>
      </c>
      <c r="G14" s="686"/>
      <c r="H14" s="679"/>
      <c r="I14" s="679"/>
      <c r="J14" s="679"/>
      <c r="K14" s="679"/>
      <c r="L14" s="679"/>
      <c r="M14" s="679"/>
      <c r="N14" s="687"/>
      <c r="O14" s="681">
        <f>SUM(O15:O15)</f>
        <v>10000</v>
      </c>
      <c r="P14" s="653">
        <v>10000</v>
      </c>
      <c r="Q14" s="653">
        <v>10000</v>
      </c>
      <c r="R14" s="654">
        <f>+P14-Q14</f>
        <v>0</v>
      </c>
      <c r="S14" s="951">
        <f>+R14/Q14</f>
        <v>0</v>
      </c>
    </row>
    <row r="15" spans="1:23" ht="15" customHeight="1">
      <c r="A15" s="617"/>
      <c r="B15" s="632"/>
      <c r="C15" s="719"/>
      <c r="D15" s="703"/>
      <c r="E15" s="3443"/>
      <c r="F15" s="697" t="s">
        <v>20</v>
      </c>
      <c r="G15" s="880">
        <v>10000</v>
      </c>
      <c r="H15" s="2522" t="s">
        <v>21</v>
      </c>
      <c r="I15" s="883">
        <v>1</v>
      </c>
      <c r="J15" s="2522"/>
      <c r="K15" s="881"/>
      <c r="L15" s="2522"/>
      <c r="M15" s="2522"/>
      <c r="N15" s="701" t="s">
        <v>22</v>
      </c>
      <c r="O15" s="882">
        <f>G15*I15</f>
        <v>10000</v>
      </c>
      <c r="P15" s="694"/>
      <c r="Q15" s="694"/>
      <c r="R15" s="695"/>
      <c r="S15" s="952"/>
    </row>
    <row r="16" spans="1:23" s="930" customFormat="1" ht="15" customHeight="1">
      <c r="A16" s="617"/>
      <c r="B16" s="632"/>
      <c r="C16" s="719"/>
      <c r="D16" s="684" t="s">
        <v>339</v>
      </c>
      <c r="E16" s="2229"/>
      <c r="F16" s="635"/>
      <c r="G16" s="636"/>
      <c r="H16" s="635"/>
      <c r="I16" s="635"/>
      <c r="J16" s="635"/>
      <c r="K16" s="635"/>
      <c r="L16" s="635"/>
      <c r="M16" s="635"/>
      <c r="N16" s="637"/>
      <c r="O16" s="635"/>
      <c r="P16" s="638">
        <f>P17</f>
        <v>0</v>
      </c>
      <c r="Q16" s="638">
        <v>0</v>
      </c>
      <c r="R16" s="793">
        <v>0</v>
      </c>
      <c r="S16" s="794">
        <v>0</v>
      </c>
    </row>
    <row r="17" spans="1:19" ht="15" customHeight="1">
      <c r="A17" s="617"/>
      <c r="B17" s="632"/>
      <c r="C17" s="719"/>
      <c r="D17" s="632"/>
      <c r="E17" s="3637" t="s">
        <v>783</v>
      </c>
      <c r="F17" s="3638"/>
      <c r="G17" s="3638"/>
      <c r="H17" s="3638"/>
      <c r="I17" s="3638"/>
      <c r="J17" s="3638"/>
      <c r="K17" s="3638"/>
      <c r="L17" s="3638"/>
      <c r="M17" s="3638"/>
      <c r="N17" s="3638"/>
      <c r="O17" s="3639"/>
      <c r="P17" s="645">
        <f>O18</f>
        <v>0</v>
      </c>
      <c r="Q17" s="645">
        <v>0</v>
      </c>
      <c r="R17" s="646">
        <f>+P17-Q17</f>
        <v>0</v>
      </c>
      <c r="S17" s="798">
        <v>0</v>
      </c>
    </row>
    <row r="18" spans="1:19" s="931" customFormat="1" ht="15" hidden="1" customHeight="1">
      <c r="A18" s="973"/>
      <c r="B18" s="632"/>
      <c r="C18" s="719"/>
      <c r="D18" s="632"/>
      <c r="E18" s="725"/>
      <c r="F18" s="748"/>
      <c r="G18" s="572"/>
      <c r="H18" s="748"/>
      <c r="I18" s="748"/>
      <c r="J18" s="748"/>
      <c r="K18" s="748"/>
      <c r="L18" s="748"/>
      <c r="M18" s="748"/>
      <c r="N18" s="974"/>
      <c r="O18" s="975"/>
      <c r="P18" s="976"/>
      <c r="Q18" s="743"/>
      <c r="R18" s="977"/>
      <c r="S18" s="978"/>
    </row>
    <row r="19" spans="1:19" s="931" customFormat="1" ht="15" hidden="1" customHeight="1">
      <c r="A19" s="973"/>
      <c r="B19" s="632"/>
      <c r="C19" s="719"/>
      <c r="D19" s="703"/>
      <c r="E19" s="3358"/>
      <c r="F19" s="979"/>
      <c r="G19" s="980"/>
      <c r="H19" s="748"/>
      <c r="I19" s="749"/>
      <c r="J19" s="748"/>
      <c r="K19" s="750"/>
      <c r="L19" s="748"/>
      <c r="M19" s="748"/>
      <c r="N19" s="974"/>
      <c r="O19" s="981"/>
      <c r="P19" s="976"/>
      <c r="Q19" s="743"/>
      <c r="R19" s="977"/>
      <c r="S19" s="978"/>
    </row>
    <row r="20" spans="1:19" s="930" customFormat="1" ht="15" customHeight="1">
      <c r="A20" s="617"/>
      <c r="B20" s="632"/>
      <c r="C20" s="719"/>
      <c r="D20" s="684" t="s">
        <v>340</v>
      </c>
      <c r="E20" s="2229"/>
      <c r="F20" s="635"/>
      <c r="G20" s="636"/>
      <c r="H20" s="635"/>
      <c r="I20" s="635"/>
      <c r="J20" s="635"/>
      <c r="K20" s="635"/>
      <c r="L20" s="635"/>
      <c r="M20" s="635"/>
      <c r="N20" s="637"/>
      <c r="O20" s="635"/>
      <c r="P20" s="638">
        <f>P21</f>
        <v>16041000</v>
      </c>
      <c r="Q20" s="638">
        <f>Q21</f>
        <v>102270000</v>
      </c>
      <c r="R20" s="793">
        <f>+P20-Q20</f>
        <v>-86229000</v>
      </c>
      <c r="S20" s="794">
        <f>+R20/Q20</f>
        <v>-0.84315048401290704</v>
      </c>
    </row>
    <row r="21" spans="1:19" ht="15" customHeight="1">
      <c r="A21" s="617"/>
      <c r="B21" s="632"/>
      <c r="C21" s="719"/>
      <c r="D21" s="626"/>
      <c r="E21" s="3637" t="s">
        <v>341</v>
      </c>
      <c r="F21" s="3638"/>
      <c r="G21" s="3638"/>
      <c r="H21" s="3638"/>
      <c r="I21" s="3638"/>
      <c r="J21" s="3638"/>
      <c r="K21" s="3638"/>
      <c r="L21" s="3638"/>
      <c r="M21" s="3638"/>
      <c r="N21" s="3638"/>
      <c r="O21" s="3639"/>
      <c r="P21" s="645">
        <f>ROUNDUP(O22,-3)</f>
        <v>16041000</v>
      </c>
      <c r="Q21" s="645">
        <v>102270000</v>
      </c>
      <c r="R21" s="646">
        <f>+P21-Q21</f>
        <v>-86229000</v>
      </c>
      <c r="S21" s="798">
        <f>+R21/Q21</f>
        <v>-0.84315048401290704</v>
      </c>
    </row>
    <row r="22" spans="1:19" ht="15" customHeight="1">
      <c r="A22" s="617"/>
      <c r="B22" s="632"/>
      <c r="C22" s="719"/>
      <c r="D22" s="632"/>
      <c r="E22" s="3442"/>
      <c r="F22" s="953" t="s">
        <v>955</v>
      </c>
      <c r="G22" s="954"/>
      <c r="H22" s="953"/>
      <c r="I22" s="953"/>
      <c r="J22" s="953"/>
      <c r="K22" s="953"/>
      <c r="L22" s="953"/>
      <c r="M22" s="953"/>
      <c r="N22" s="955"/>
      <c r="O22" s="956">
        <f>SUM(O23:O23)</f>
        <v>16041000</v>
      </c>
      <c r="P22" s="957">
        <v>16041000</v>
      </c>
      <c r="Q22" s="957">
        <v>102270000</v>
      </c>
      <c r="R22" s="958">
        <f>+P22-Q22</f>
        <v>-86229000</v>
      </c>
      <c r="S22" s="959">
        <f>+R22/Q22</f>
        <v>-0.84315048401290704</v>
      </c>
    </row>
    <row r="23" spans="1:19" ht="15" customHeight="1">
      <c r="A23" s="617"/>
      <c r="B23" s="632"/>
      <c r="C23" s="719"/>
      <c r="D23" s="632"/>
      <c r="E23" s="3442"/>
      <c r="F23" s="705" t="s">
        <v>958</v>
      </c>
      <c r="G23" s="893">
        <v>16041000</v>
      </c>
      <c r="H23" s="709" t="s">
        <v>21</v>
      </c>
      <c r="I23" s="894">
        <v>1</v>
      </c>
      <c r="J23" s="709"/>
      <c r="K23" s="895"/>
      <c r="L23" s="709"/>
      <c r="M23" s="709"/>
      <c r="N23" s="710" t="s">
        <v>22</v>
      </c>
      <c r="O23" s="896">
        <f>G23</f>
        <v>16041000</v>
      </c>
      <c r="P23" s="712"/>
      <c r="Q23" s="712"/>
      <c r="R23" s="713"/>
      <c r="S23" s="960"/>
    </row>
    <row r="24" spans="1:19" s="930" customFormat="1" ht="15" customHeight="1">
      <c r="A24" s="617"/>
      <c r="B24" s="3657" t="s">
        <v>342</v>
      </c>
      <c r="C24" s="3658"/>
      <c r="D24" s="3658"/>
      <c r="E24" s="3658"/>
      <c r="F24" s="3658"/>
      <c r="G24" s="3658"/>
      <c r="H24" s="3658"/>
      <c r="I24" s="3658"/>
      <c r="J24" s="3658"/>
      <c r="K24" s="3658"/>
      <c r="L24" s="3658"/>
      <c r="M24" s="3658"/>
      <c r="N24" s="3658"/>
      <c r="O24" s="3659"/>
      <c r="P24" s="946">
        <f>P25</f>
        <v>0</v>
      </c>
      <c r="Q24" s="946">
        <f>Q25</f>
        <v>2482000</v>
      </c>
      <c r="R24" s="942">
        <f>+P24-Q24</f>
        <v>-2482000</v>
      </c>
      <c r="S24" s="943">
        <f>+R24/Q24</f>
        <v>-1</v>
      </c>
    </row>
    <row r="25" spans="1:19" ht="15" customHeight="1">
      <c r="A25" s="617"/>
      <c r="B25" s="632"/>
      <c r="C25" s="3657" t="s">
        <v>282</v>
      </c>
      <c r="D25" s="3658"/>
      <c r="E25" s="3658"/>
      <c r="F25" s="3658"/>
      <c r="G25" s="3658"/>
      <c r="H25" s="3658"/>
      <c r="I25" s="3658"/>
      <c r="J25" s="3658"/>
      <c r="K25" s="3658"/>
      <c r="L25" s="3658"/>
      <c r="M25" s="3658"/>
      <c r="N25" s="3658"/>
      <c r="O25" s="3659"/>
      <c r="P25" s="946">
        <f>P26</f>
        <v>0</v>
      </c>
      <c r="Q25" s="946">
        <f>SUM(Q26)</f>
        <v>2482000</v>
      </c>
      <c r="R25" s="942">
        <f>+P25-Q25</f>
        <v>-2482000</v>
      </c>
      <c r="S25" s="943">
        <f>+R25/Q25</f>
        <v>-1</v>
      </c>
    </row>
    <row r="26" spans="1:19" ht="15" customHeight="1">
      <c r="A26" s="617"/>
      <c r="B26" s="632"/>
      <c r="C26" s="719"/>
      <c r="D26" s="684" t="s">
        <v>176</v>
      </c>
      <c r="E26" s="2229"/>
      <c r="F26" s="635"/>
      <c r="G26" s="636"/>
      <c r="H26" s="635"/>
      <c r="I26" s="635"/>
      <c r="J26" s="635"/>
      <c r="K26" s="635"/>
      <c r="L26" s="635"/>
      <c r="M26" s="635"/>
      <c r="N26" s="637"/>
      <c r="O26" s="635"/>
      <c r="P26" s="638">
        <f>SUM(P27)</f>
        <v>0</v>
      </c>
      <c r="Q26" s="638">
        <f>SUM(Q27)</f>
        <v>2482000</v>
      </c>
      <c r="R26" s="793">
        <f>+P26-Q26</f>
        <v>-2482000</v>
      </c>
      <c r="S26" s="794">
        <f>+R26/Q26</f>
        <v>-1</v>
      </c>
    </row>
    <row r="27" spans="1:19" ht="15" customHeight="1" thickBot="1">
      <c r="A27" s="766"/>
      <c r="B27" s="767"/>
      <c r="C27" s="600"/>
      <c r="D27" s="862"/>
      <c r="E27" s="3676" t="s">
        <v>177</v>
      </c>
      <c r="F27" s="3677"/>
      <c r="G27" s="3677"/>
      <c r="H27" s="3677"/>
      <c r="I27" s="3677"/>
      <c r="J27" s="3677"/>
      <c r="K27" s="3677"/>
      <c r="L27" s="3677"/>
      <c r="M27" s="3677"/>
      <c r="N27" s="3677"/>
      <c r="O27" s="3678"/>
      <c r="P27" s="835">
        <v>0</v>
      </c>
      <c r="Q27" s="835">
        <v>2482000</v>
      </c>
      <c r="R27" s="836">
        <f>+P27-Q27</f>
        <v>-2482000</v>
      </c>
      <c r="S27" s="837">
        <f>+R27/Q27</f>
        <v>-1</v>
      </c>
    </row>
    <row r="28" spans="1:19" ht="15" hidden="1" customHeight="1">
      <c r="A28" s="831"/>
      <c r="B28" s="838"/>
      <c r="C28" s="947"/>
      <c r="D28" s="838"/>
      <c r="E28" s="3444"/>
      <c r="F28" s="947"/>
      <c r="G28" s="1242"/>
      <c r="H28" s="947"/>
      <c r="I28" s="947"/>
      <c r="J28" s="947"/>
      <c r="K28" s="947"/>
      <c r="L28" s="947"/>
      <c r="M28" s="947"/>
      <c r="N28" s="1243"/>
      <c r="O28" s="1244"/>
      <c r="P28" s="948"/>
      <c r="Q28" s="948"/>
      <c r="R28" s="949"/>
      <c r="S28" s="950"/>
    </row>
    <row r="29" spans="1:19" ht="15" hidden="1" customHeight="1" thickBot="1">
      <c r="A29" s="833"/>
      <c r="B29" s="834"/>
      <c r="C29" s="961"/>
      <c r="D29" s="834"/>
      <c r="E29" s="3445"/>
      <c r="F29" s="1245"/>
      <c r="G29" s="1246"/>
      <c r="H29" s="961"/>
      <c r="I29" s="1247"/>
      <c r="J29" s="961"/>
      <c r="K29" s="1248"/>
      <c r="L29" s="961"/>
      <c r="M29" s="961"/>
      <c r="N29" s="1249"/>
      <c r="O29" s="1250"/>
      <c r="P29" s="1251"/>
      <c r="Q29" s="1251"/>
      <c r="R29" s="1252"/>
      <c r="S29" s="1253"/>
    </row>
    <row r="30" spans="1:19" ht="15" customHeight="1">
      <c r="Q30" s="935"/>
    </row>
    <row r="31" spans="1:19" ht="12" customHeight="1"/>
    <row r="32" spans="1:19" ht="12" customHeight="1"/>
    <row r="33" spans="14:14" ht="12" customHeight="1"/>
    <row r="34" spans="14:14" ht="12" customHeight="1"/>
    <row r="35" spans="14:14" ht="12" customHeight="1"/>
    <row r="36" spans="14:14" ht="12" customHeight="1"/>
    <row r="37" spans="14:14" ht="12" customHeight="1"/>
    <row r="38" spans="14:14" ht="12" customHeight="1"/>
    <row r="39" spans="14:14" ht="12" customHeight="1"/>
    <row r="40" spans="14:14" ht="12" customHeight="1"/>
    <row r="41" spans="14:14" ht="12" customHeight="1"/>
    <row r="42" spans="14:14" ht="12" customHeight="1"/>
    <row r="43" spans="14:14" ht="12" customHeight="1"/>
    <row r="44" spans="14:14" ht="12" customHeight="1"/>
    <row r="45" spans="14:14" ht="12" customHeight="1"/>
    <row r="46" spans="14:14" ht="12" customHeight="1">
      <c r="N46" s="3460"/>
    </row>
    <row r="47" spans="14:14" ht="12" customHeight="1"/>
    <row r="48" spans="14:14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</sheetData>
  <mergeCells count="18">
    <mergeCell ref="E27:O27"/>
    <mergeCell ref="B24:O24"/>
    <mergeCell ref="B6:O6"/>
    <mergeCell ref="C25:O25"/>
    <mergeCell ref="C11:O11"/>
    <mergeCell ref="C7:O7"/>
    <mergeCell ref="E9:O9"/>
    <mergeCell ref="E13:O13"/>
    <mergeCell ref="E17:O17"/>
    <mergeCell ref="E21:O21"/>
    <mergeCell ref="A1:S1"/>
    <mergeCell ref="R2:S2"/>
    <mergeCell ref="A3:E3"/>
    <mergeCell ref="G3:O4"/>
    <mergeCell ref="P3:P4"/>
    <mergeCell ref="Q3:Q4"/>
    <mergeCell ref="R3:R4"/>
    <mergeCell ref="S3:S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  <headerFooter scaleWithDoc="0"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99FF"/>
    <pageSetUpPr fitToPage="1"/>
  </sheetPr>
  <dimension ref="A1:AB147"/>
  <sheetViews>
    <sheetView view="pageBreakPreview" zoomScale="85" zoomScaleNormal="85" zoomScaleSheetLayoutView="85" workbookViewId="0">
      <pane xSplit="3" ySplit="7" topLeftCell="D59" activePane="bottomRight" state="frozen"/>
      <selection activeCell="O40" sqref="O39:O40"/>
      <selection pane="topRight" activeCell="O40" sqref="O39:O40"/>
      <selection pane="bottomLeft" activeCell="O40" sqref="O39:O40"/>
      <selection pane="bottomRight" activeCell="F91" sqref="F91"/>
    </sheetView>
  </sheetViews>
  <sheetFormatPr defaultColWidth="9" defaultRowHeight="16.5"/>
  <cols>
    <col min="1" max="1" width="3.625" style="66" customWidth="1"/>
    <col min="2" max="4" width="3.625" style="240" customWidth="1"/>
    <col min="5" max="5" width="10.625" style="3441" customWidth="1"/>
    <col min="6" max="6" width="24.75" style="66" customWidth="1"/>
    <col min="7" max="7" width="16.25" style="67" bestFit="1" customWidth="1"/>
    <col min="8" max="8" width="2.125" style="66" customWidth="1"/>
    <col min="9" max="9" width="7.125" style="66" bestFit="1" customWidth="1"/>
    <col min="10" max="10" width="2.125" style="66" customWidth="1"/>
    <col min="11" max="11" width="6" style="66" bestFit="1" customWidth="1"/>
    <col min="12" max="12" width="2.75" style="66" customWidth="1"/>
    <col min="13" max="13" width="6.375" style="66" bestFit="1" customWidth="1"/>
    <col min="14" max="14" width="2.625" style="65" customWidth="1"/>
    <col min="15" max="15" width="16.25" style="67" bestFit="1" customWidth="1"/>
    <col min="16" max="16" width="10.625" style="775" customWidth="1"/>
    <col min="17" max="17" width="10.625" style="776" customWidth="1"/>
    <col min="18" max="18" width="10.625" style="1158" customWidth="1"/>
    <col min="19" max="19" width="10.625" style="1159" customWidth="1"/>
    <col min="20" max="20" width="9" style="66"/>
    <col min="21" max="21" width="12.625" style="66" bestFit="1" customWidth="1"/>
    <col min="22" max="22" width="10.875" style="66" bestFit="1" customWidth="1"/>
    <col min="23" max="23" width="11.875" style="66" bestFit="1" customWidth="1"/>
    <col min="24" max="27" width="9" style="66"/>
    <col min="28" max="28" width="9.125" style="66" bestFit="1" customWidth="1"/>
    <col min="29" max="16384" width="9" style="66"/>
  </cols>
  <sheetData>
    <row r="1" spans="1:23" s="128" customFormat="1" ht="35.1" customHeight="1">
      <c r="A1" s="3679" t="s">
        <v>2089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</row>
    <row r="2" spans="1:23" ht="15" customHeight="1" thickBot="1">
      <c r="A2" s="128" t="s">
        <v>352</v>
      </c>
      <c r="B2" s="839"/>
      <c r="C2" s="839"/>
      <c r="D2" s="839"/>
      <c r="E2" s="845"/>
      <c r="F2" s="128"/>
      <c r="G2" s="840"/>
      <c r="H2" s="128"/>
      <c r="I2" s="128"/>
      <c r="J2" s="128"/>
      <c r="K2" s="128"/>
      <c r="L2" s="128"/>
      <c r="M2" s="128"/>
      <c r="N2" s="841"/>
      <c r="O2" s="840"/>
      <c r="P2" s="842"/>
      <c r="Q2" s="843"/>
      <c r="R2" s="3680" t="s">
        <v>311</v>
      </c>
      <c r="S2" s="3680"/>
    </row>
    <row r="3" spans="1:23" s="841" customFormat="1" ht="15" customHeight="1">
      <c r="A3" s="3693" t="s">
        <v>353</v>
      </c>
      <c r="B3" s="3694"/>
      <c r="C3" s="3694"/>
      <c r="D3" s="3694"/>
      <c r="E3" s="3694"/>
      <c r="F3" s="982"/>
      <c r="G3" s="3695" t="s">
        <v>354</v>
      </c>
      <c r="H3" s="3695"/>
      <c r="I3" s="3695"/>
      <c r="J3" s="3695"/>
      <c r="K3" s="3695"/>
      <c r="L3" s="3695"/>
      <c r="M3" s="3695"/>
      <c r="N3" s="3695"/>
      <c r="O3" s="3696"/>
      <c r="P3" s="3699" t="s">
        <v>4</v>
      </c>
      <c r="Q3" s="3701" t="s">
        <v>326</v>
      </c>
      <c r="R3" s="3703" t="s">
        <v>5</v>
      </c>
      <c r="S3" s="3705" t="s">
        <v>6</v>
      </c>
    </row>
    <row r="4" spans="1:23" s="841" customFormat="1" ht="15" customHeight="1" thickBot="1">
      <c r="A4" s="983" t="s">
        <v>359</v>
      </c>
      <c r="B4" s="984" t="s">
        <v>360</v>
      </c>
      <c r="C4" s="984" t="s">
        <v>361</v>
      </c>
      <c r="D4" s="984" t="s">
        <v>362</v>
      </c>
      <c r="E4" s="984" t="s">
        <v>363</v>
      </c>
      <c r="F4" s="985" t="s">
        <v>364</v>
      </c>
      <c r="G4" s="3697"/>
      <c r="H4" s="3697"/>
      <c r="I4" s="3697"/>
      <c r="J4" s="3697"/>
      <c r="K4" s="3697"/>
      <c r="L4" s="3697"/>
      <c r="M4" s="3697"/>
      <c r="N4" s="3697"/>
      <c r="O4" s="3698"/>
      <c r="P4" s="3700"/>
      <c r="Q4" s="3702"/>
      <c r="R4" s="3704"/>
      <c r="S4" s="3706"/>
    </row>
    <row r="5" spans="1:23" s="128" customFormat="1" ht="15" customHeight="1" thickBot="1">
      <c r="A5" s="609" t="s">
        <v>365</v>
      </c>
      <c r="B5" s="610"/>
      <c r="C5" s="611"/>
      <c r="D5" s="611"/>
      <c r="E5" s="611"/>
      <c r="F5" s="611"/>
      <c r="G5" s="612"/>
      <c r="H5" s="611"/>
      <c r="I5" s="611"/>
      <c r="J5" s="611"/>
      <c r="K5" s="611"/>
      <c r="L5" s="611"/>
      <c r="M5" s="611"/>
      <c r="N5" s="613"/>
      <c r="O5" s="612"/>
      <c r="P5" s="986">
        <f>P6</f>
        <v>914627000</v>
      </c>
      <c r="Q5" s="986">
        <f>Q6</f>
        <v>1345286000</v>
      </c>
      <c r="R5" s="615">
        <f t="shared" ref="R5:R10" si="0">+P5-Q5</f>
        <v>-430659000</v>
      </c>
      <c r="S5" s="987">
        <f>+R5/Q5</f>
        <v>-0.32012449397377213</v>
      </c>
      <c r="W5" s="1120"/>
    </row>
    <row r="6" spans="1:23" s="128" customFormat="1" ht="15" customHeight="1">
      <c r="A6" s="778"/>
      <c r="B6" s="3690" t="s">
        <v>366</v>
      </c>
      <c r="C6" s="3691"/>
      <c r="D6" s="3691"/>
      <c r="E6" s="3691"/>
      <c r="F6" s="3691"/>
      <c r="G6" s="3691"/>
      <c r="H6" s="3691"/>
      <c r="I6" s="3691"/>
      <c r="J6" s="3691"/>
      <c r="K6" s="3691"/>
      <c r="L6" s="3691"/>
      <c r="M6" s="3691"/>
      <c r="N6" s="3691"/>
      <c r="O6" s="3692"/>
      <c r="P6" s="828">
        <f>SUM(P7,P63,P80)</f>
        <v>914627000</v>
      </c>
      <c r="Q6" s="828">
        <f>SUM(Q7,Q63,Q80)</f>
        <v>1345286000</v>
      </c>
      <c r="R6" s="924">
        <f t="shared" si="0"/>
        <v>-430659000</v>
      </c>
      <c r="S6" s="925">
        <f>+R6/Q6</f>
        <v>-0.32012449397377213</v>
      </c>
    </row>
    <row r="7" spans="1:23" s="128" customFormat="1" ht="15" customHeight="1">
      <c r="A7" s="778"/>
      <c r="B7" s="844"/>
      <c r="C7" s="3657" t="s">
        <v>3184</v>
      </c>
      <c r="D7" s="3658"/>
      <c r="E7" s="3658"/>
      <c r="F7" s="3658"/>
      <c r="G7" s="3658"/>
      <c r="H7" s="3658"/>
      <c r="I7" s="3658"/>
      <c r="J7" s="3658"/>
      <c r="K7" s="3658"/>
      <c r="L7" s="3658"/>
      <c r="M7" s="3658"/>
      <c r="N7" s="3658"/>
      <c r="O7" s="3659"/>
      <c r="P7" s="988">
        <f>SUM(P8,P52,P59)</f>
        <v>466692000</v>
      </c>
      <c r="Q7" s="988">
        <f>SUM(Q8,Q52,Q59)</f>
        <v>145053000</v>
      </c>
      <c r="R7" s="924">
        <f t="shared" si="0"/>
        <v>321639000</v>
      </c>
      <c r="S7" s="925">
        <f>+R7/Q7</f>
        <v>2.2173895059047384</v>
      </c>
      <c r="U7" s="128">
        <v>914627000</v>
      </c>
    </row>
    <row r="8" spans="1:23" s="128" customFormat="1" ht="15" customHeight="1">
      <c r="A8" s="778"/>
      <c r="B8" s="786"/>
      <c r="C8" s="792"/>
      <c r="D8" s="684" t="s">
        <v>368</v>
      </c>
      <c r="E8" s="2229"/>
      <c r="F8" s="635"/>
      <c r="G8" s="636"/>
      <c r="H8" s="635"/>
      <c r="I8" s="635"/>
      <c r="J8" s="635"/>
      <c r="K8" s="635"/>
      <c r="L8" s="635"/>
      <c r="M8" s="635"/>
      <c r="N8" s="637"/>
      <c r="O8" s="636"/>
      <c r="P8" s="989">
        <f>P9+P47</f>
        <v>376324000</v>
      </c>
      <c r="Q8" s="989">
        <f>Q9+Q47</f>
        <v>104400000</v>
      </c>
      <c r="R8" s="639">
        <f t="shared" si="0"/>
        <v>271924000</v>
      </c>
      <c r="S8" s="640">
        <f>+R8/Q8</f>
        <v>2.6046360153256707</v>
      </c>
    </row>
    <row r="9" spans="1:23" ht="15" customHeight="1">
      <c r="A9" s="778"/>
      <c r="B9" s="786"/>
      <c r="C9" s="792"/>
      <c r="D9" s="844"/>
      <c r="E9" s="3637" t="s">
        <v>2983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990">
        <f>O10+O16+O20+O24+O30+O35+O39</f>
        <v>290424000</v>
      </c>
      <c r="Q9" s="645">
        <f>Q10+Q16+Q20+Q24+Q30+Q35+Q39</f>
        <v>104400000</v>
      </c>
      <c r="R9" s="646">
        <f t="shared" si="0"/>
        <v>186024000</v>
      </c>
      <c r="S9" s="647">
        <f t="shared" ref="S9" si="1">+R9/Q9</f>
        <v>1.7818390804597701</v>
      </c>
    </row>
    <row r="10" spans="1:23" ht="15" customHeight="1">
      <c r="A10" s="778"/>
      <c r="B10" s="786"/>
      <c r="C10" s="792"/>
      <c r="D10" s="786"/>
      <c r="E10" s="3426"/>
      <c r="F10" s="992" t="s">
        <v>858</v>
      </c>
      <c r="G10" s="993"/>
      <c r="H10" s="993"/>
      <c r="I10" s="993"/>
      <c r="J10" s="993"/>
      <c r="K10" s="992"/>
      <c r="L10" s="992"/>
      <c r="M10" s="992"/>
      <c r="N10" s="992"/>
      <c r="O10" s="994">
        <f>SUM(O11:O15)</f>
        <v>87300000</v>
      </c>
      <c r="P10" s="653">
        <f>O10</f>
        <v>87300000</v>
      </c>
      <c r="Q10" s="803">
        <v>19200000</v>
      </c>
      <c r="R10" s="804">
        <f t="shared" si="0"/>
        <v>68100000</v>
      </c>
      <c r="S10" s="995">
        <f t="shared" ref="S10" si="2">+R10/Q10</f>
        <v>3.546875</v>
      </c>
    </row>
    <row r="11" spans="1:23" ht="15" customHeight="1">
      <c r="A11" s="778"/>
      <c r="B11" s="786"/>
      <c r="C11" s="792"/>
      <c r="D11" s="786"/>
      <c r="E11" s="3427"/>
      <c r="F11" s="996" t="s">
        <v>859</v>
      </c>
      <c r="G11" s="997">
        <v>35000</v>
      </c>
      <c r="H11" s="996" t="s">
        <v>51</v>
      </c>
      <c r="I11" s="998">
        <v>15</v>
      </c>
      <c r="J11" s="996" t="s">
        <v>51</v>
      </c>
      <c r="K11" s="999">
        <v>4</v>
      </c>
      <c r="L11" s="996" t="s">
        <v>51</v>
      </c>
      <c r="M11" s="1000">
        <v>12</v>
      </c>
      <c r="N11" s="1001" t="s">
        <v>32</v>
      </c>
      <c r="O11" s="1002">
        <f>G11*I11*K11*M11</f>
        <v>25200000</v>
      </c>
      <c r="P11" s="806"/>
      <c r="Q11" s="807"/>
      <c r="R11" s="808"/>
      <c r="S11" s="1003"/>
    </row>
    <row r="12" spans="1:23" ht="15" customHeight="1">
      <c r="A12" s="778"/>
      <c r="B12" s="786"/>
      <c r="C12" s="792"/>
      <c r="D12" s="786"/>
      <c r="E12" s="3427"/>
      <c r="F12" s="996" t="s">
        <v>860</v>
      </c>
      <c r="G12" s="997">
        <v>30000</v>
      </c>
      <c r="H12" s="996" t="s">
        <v>51</v>
      </c>
      <c r="I12" s="998">
        <v>15</v>
      </c>
      <c r="J12" s="996" t="s">
        <v>51</v>
      </c>
      <c r="K12" s="999">
        <v>3</v>
      </c>
      <c r="L12" s="996" t="s">
        <v>51</v>
      </c>
      <c r="M12" s="1000">
        <v>12</v>
      </c>
      <c r="N12" s="1001" t="s">
        <v>32</v>
      </c>
      <c r="O12" s="1002">
        <f>G12*I12*K12*M12</f>
        <v>16200000</v>
      </c>
      <c r="P12" s="806"/>
      <c r="Q12" s="807"/>
      <c r="R12" s="808"/>
      <c r="S12" s="1003"/>
      <c r="U12" s="1121">
        <f>P5-U7</f>
        <v>0</v>
      </c>
    </row>
    <row r="13" spans="1:23" ht="15" customHeight="1">
      <c r="A13" s="778"/>
      <c r="B13" s="786"/>
      <c r="C13" s="792"/>
      <c r="D13" s="786"/>
      <c r="E13" s="3427"/>
      <c r="F13" s="996" t="s">
        <v>861</v>
      </c>
      <c r="G13" s="997">
        <v>35000</v>
      </c>
      <c r="H13" s="996" t="s">
        <v>51</v>
      </c>
      <c r="I13" s="998">
        <v>15</v>
      </c>
      <c r="J13" s="996" t="s">
        <v>862</v>
      </c>
      <c r="K13" s="999">
        <v>3</v>
      </c>
      <c r="L13" s="996" t="s">
        <v>51</v>
      </c>
      <c r="M13" s="1000">
        <v>12</v>
      </c>
      <c r="N13" s="1001" t="s">
        <v>32</v>
      </c>
      <c r="O13" s="1002">
        <f>G13*I13*K13*M13</f>
        <v>18900000</v>
      </c>
      <c r="P13" s="806"/>
      <c r="Q13" s="807"/>
      <c r="R13" s="808"/>
      <c r="S13" s="1003"/>
      <c r="U13" s="1121"/>
    </row>
    <row r="14" spans="1:23" ht="15" customHeight="1">
      <c r="A14" s="778"/>
      <c r="B14" s="786"/>
      <c r="C14" s="792"/>
      <c r="D14" s="786"/>
      <c r="E14" s="3427"/>
      <c r="F14" s="996" t="s">
        <v>863</v>
      </c>
      <c r="G14" s="997">
        <v>40000</v>
      </c>
      <c r="H14" s="996" t="s">
        <v>51</v>
      </c>
      <c r="I14" s="998">
        <v>10</v>
      </c>
      <c r="J14" s="996" t="s">
        <v>51</v>
      </c>
      <c r="K14" s="999">
        <v>3</v>
      </c>
      <c r="L14" s="996" t="s">
        <v>51</v>
      </c>
      <c r="M14" s="1000">
        <v>12</v>
      </c>
      <c r="N14" s="1001" t="s">
        <v>820</v>
      </c>
      <c r="O14" s="1002">
        <f>G14*I14*K14*M14</f>
        <v>14400000</v>
      </c>
      <c r="P14" s="806"/>
      <c r="Q14" s="807"/>
      <c r="R14" s="808"/>
      <c r="S14" s="1003"/>
    </row>
    <row r="15" spans="1:23" ht="15" customHeight="1">
      <c r="A15" s="778"/>
      <c r="B15" s="786"/>
      <c r="C15" s="792"/>
      <c r="D15" s="786"/>
      <c r="E15" s="3427"/>
      <c r="F15" s="996" t="s">
        <v>864</v>
      </c>
      <c r="G15" s="997">
        <v>35000</v>
      </c>
      <c r="H15" s="996" t="s">
        <v>51</v>
      </c>
      <c r="I15" s="998">
        <v>10</v>
      </c>
      <c r="J15" s="996" t="s">
        <v>51</v>
      </c>
      <c r="K15" s="999">
        <v>3</v>
      </c>
      <c r="L15" s="996" t="s">
        <v>51</v>
      </c>
      <c r="M15" s="1000">
        <v>12</v>
      </c>
      <c r="N15" s="1001" t="s">
        <v>32</v>
      </c>
      <c r="O15" s="1002">
        <f>G15*I15*K15*M15</f>
        <v>12600000</v>
      </c>
      <c r="P15" s="806"/>
      <c r="Q15" s="807"/>
      <c r="R15" s="808"/>
      <c r="S15" s="1003"/>
    </row>
    <row r="16" spans="1:23" ht="15" customHeight="1">
      <c r="A16" s="778"/>
      <c r="B16" s="786"/>
      <c r="C16" s="792"/>
      <c r="D16" s="786"/>
      <c r="E16" s="3427"/>
      <c r="F16" s="992" t="s">
        <v>865</v>
      </c>
      <c r="G16" s="1004"/>
      <c r="H16" s="992"/>
      <c r="I16" s="992"/>
      <c r="J16" s="992"/>
      <c r="K16" s="992"/>
      <c r="L16" s="992"/>
      <c r="M16" s="992"/>
      <c r="N16" s="992"/>
      <c r="O16" s="994">
        <f>SUM(O17:O19)</f>
        <v>10752000</v>
      </c>
      <c r="P16" s="1005">
        <f>O16</f>
        <v>10752000</v>
      </c>
      <c r="Q16" s="803">
        <v>21000000</v>
      </c>
      <c r="R16" s="804">
        <f>+P16-Q16</f>
        <v>-10248000</v>
      </c>
      <c r="S16" s="995">
        <f t="shared" ref="S16" si="3">+R16/Q16</f>
        <v>-0.48799999999999999</v>
      </c>
    </row>
    <row r="17" spans="1:21" ht="15" customHeight="1">
      <c r="A17" s="778"/>
      <c r="B17" s="786"/>
      <c r="C17" s="792"/>
      <c r="D17" s="786"/>
      <c r="E17" s="3427"/>
      <c r="F17" s="996" t="s">
        <v>866</v>
      </c>
      <c r="G17" s="997">
        <v>32000</v>
      </c>
      <c r="H17" s="996" t="s">
        <v>51</v>
      </c>
      <c r="I17" s="998">
        <v>7</v>
      </c>
      <c r="J17" s="996" t="s">
        <v>51</v>
      </c>
      <c r="K17" s="999">
        <v>1</v>
      </c>
      <c r="L17" s="996" t="s">
        <v>51</v>
      </c>
      <c r="M17" s="1000">
        <v>12</v>
      </c>
      <c r="N17" s="1001" t="s">
        <v>32</v>
      </c>
      <c r="O17" s="1002">
        <f>G17*I17*K17*M17</f>
        <v>2688000</v>
      </c>
      <c r="P17" s="806"/>
      <c r="Q17" s="807"/>
      <c r="R17" s="808"/>
      <c r="S17" s="1003"/>
    </row>
    <row r="18" spans="1:21" ht="15" customHeight="1">
      <c r="A18" s="778"/>
      <c r="B18" s="786"/>
      <c r="C18" s="792"/>
      <c r="D18" s="786"/>
      <c r="E18" s="3427"/>
      <c r="F18" s="996" t="s">
        <v>867</v>
      </c>
      <c r="G18" s="997">
        <v>32000</v>
      </c>
      <c r="H18" s="996" t="s">
        <v>51</v>
      </c>
      <c r="I18" s="998">
        <v>7</v>
      </c>
      <c r="J18" s="996" t="s">
        <v>51</v>
      </c>
      <c r="K18" s="999">
        <v>1</v>
      </c>
      <c r="L18" s="996" t="s">
        <v>51</v>
      </c>
      <c r="M18" s="1000">
        <v>12</v>
      </c>
      <c r="N18" s="1001" t="s">
        <v>32</v>
      </c>
      <c r="O18" s="1002">
        <f>G18*I18*K18*M18</f>
        <v>2688000</v>
      </c>
      <c r="P18" s="806"/>
      <c r="Q18" s="807"/>
      <c r="R18" s="808"/>
      <c r="S18" s="1003"/>
    </row>
    <row r="19" spans="1:21" ht="15" customHeight="1">
      <c r="A19" s="778"/>
      <c r="B19" s="786"/>
      <c r="C19" s="792"/>
      <c r="D19" s="786"/>
      <c r="E19" s="3427"/>
      <c r="F19" s="996" t="s">
        <v>868</v>
      </c>
      <c r="G19" s="997">
        <v>32000</v>
      </c>
      <c r="H19" s="996" t="s">
        <v>862</v>
      </c>
      <c r="I19" s="998">
        <v>7</v>
      </c>
      <c r="J19" s="996" t="s">
        <v>817</v>
      </c>
      <c r="K19" s="999">
        <v>2</v>
      </c>
      <c r="L19" s="996" t="s">
        <v>862</v>
      </c>
      <c r="M19" s="1000">
        <v>12</v>
      </c>
      <c r="N19" s="1001" t="s">
        <v>32</v>
      </c>
      <c r="O19" s="1002">
        <f>G19*I19*K19*M19</f>
        <v>5376000</v>
      </c>
      <c r="P19" s="806"/>
      <c r="Q19" s="807"/>
      <c r="R19" s="808"/>
      <c r="S19" s="1003"/>
    </row>
    <row r="20" spans="1:21" ht="15" customHeight="1">
      <c r="A20" s="778"/>
      <c r="B20" s="786"/>
      <c r="C20" s="792"/>
      <c r="D20" s="786"/>
      <c r="E20" s="3427"/>
      <c r="F20" s="992" t="s">
        <v>869</v>
      </c>
      <c r="G20" s="1004"/>
      <c r="H20" s="992"/>
      <c r="I20" s="992"/>
      <c r="J20" s="992"/>
      <c r="K20" s="992"/>
      <c r="L20" s="992"/>
      <c r="M20" s="992"/>
      <c r="N20" s="992"/>
      <c r="O20" s="994">
        <f>SUM(O21:O23)</f>
        <v>15120000</v>
      </c>
      <c r="P20" s="1005">
        <f>O20</f>
        <v>15120000</v>
      </c>
      <c r="Q20" s="803">
        <v>0</v>
      </c>
      <c r="R20" s="804">
        <f>+P20-Q20</f>
        <v>15120000</v>
      </c>
      <c r="S20" s="995"/>
    </row>
    <row r="21" spans="1:21" ht="15" customHeight="1">
      <c r="A21" s="778"/>
      <c r="B21" s="786"/>
      <c r="C21" s="792"/>
      <c r="D21" s="786"/>
      <c r="E21" s="3427"/>
      <c r="F21" s="996" t="s">
        <v>870</v>
      </c>
      <c r="G21" s="997">
        <v>42000</v>
      </c>
      <c r="H21" s="996" t="s">
        <v>51</v>
      </c>
      <c r="I21" s="998">
        <v>10</v>
      </c>
      <c r="J21" s="996" t="s">
        <v>51</v>
      </c>
      <c r="K21" s="999">
        <v>1</v>
      </c>
      <c r="L21" s="996" t="s">
        <v>817</v>
      </c>
      <c r="M21" s="1000">
        <v>12</v>
      </c>
      <c r="N21" s="1001" t="s">
        <v>820</v>
      </c>
      <c r="O21" s="1002">
        <f>G21*I21*K21*M21</f>
        <v>5040000</v>
      </c>
      <c r="P21" s="806"/>
      <c r="Q21" s="807"/>
      <c r="R21" s="808"/>
      <c r="S21" s="1003"/>
    </row>
    <row r="22" spans="1:21" ht="15" customHeight="1">
      <c r="A22" s="778"/>
      <c r="B22" s="786"/>
      <c r="C22" s="792"/>
      <c r="D22" s="786"/>
      <c r="E22" s="3427"/>
      <c r="F22" s="996" t="s">
        <v>871</v>
      </c>
      <c r="G22" s="997">
        <v>42000</v>
      </c>
      <c r="H22" s="996" t="s">
        <v>817</v>
      </c>
      <c r="I22" s="998">
        <v>10</v>
      </c>
      <c r="J22" s="996" t="s">
        <v>872</v>
      </c>
      <c r="K22" s="999">
        <v>1</v>
      </c>
      <c r="L22" s="996" t="s">
        <v>51</v>
      </c>
      <c r="M22" s="1000">
        <v>12</v>
      </c>
      <c r="N22" s="1001" t="s">
        <v>873</v>
      </c>
      <c r="O22" s="1002">
        <f>G22*I22*K22*M22</f>
        <v>5040000</v>
      </c>
      <c r="P22" s="806"/>
      <c r="Q22" s="807"/>
      <c r="R22" s="808"/>
      <c r="S22" s="1003"/>
    </row>
    <row r="23" spans="1:21" ht="15" customHeight="1">
      <c r="A23" s="778"/>
      <c r="B23" s="786"/>
      <c r="C23" s="792"/>
      <c r="D23" s="786"/>
      <c r="E23" s="3427"/>
      <c r="F23" s="996" t="s">
        <v>874</v>
      </c>
      <c r="G23" s="997">
        <v>42000</v>
      </c>
      <c r="H23" s="996" t="s">
        <v>817</v>
      </c>
      <c r="I23" s="998">
        <v>10</v>
      </c>
      <c r="J23" s="996" t="s">
        <v>51</v>
      </c>
      <c r="K23" s="999">
        <v>1</v>
      </c>
      <c r="L23" s="996" t="s">
        <v>51</v>
      </c>
      <c r="M23" s="1000">
        <v>12</v>
      </c>
      <c r="N23" s="1001" t="s">
        <v>32</v>
      </c>
      <c r="O23" s="1002">
        <f>G23*I23*K23*M23</f>
        <v>5040000</v>
      </c>
      <c r="P23" s="806"/>
      <c r="Q23" s="807"/>
      <c r="R23" s="808"/>
      <c r="S23" s="1003"/>
    </row>
    <row r="24" spans="1:21" ht="15" customHeight="1">
      <c r="A24" s="778"/>
      <c r="B24" s="786"/>
      <c r="C24" s="792"/>
      <c r="D24" s="786"/>
      <c r="E24" s="3427"/>
      <c r="F24" s="992" t="s">
        <v>875</v>
      </c>
      <c r="G24" s="993"/>
      <c r="H24" s="993"/>
      <c r="I24" s="993"/>
      <c r="J24" s="993"/>
      <c r="K24" s="992"/>
      <c r="L24" s="992"/>
      <c r="M24" s="992"/>
      <c r="N24" s="992"/>
      <c r="O24" s="994">
        <f>SUM(O25:O29)</f>
        <v>48456000</v>
      </c>
      <c r="P24" s="1005">
        <f>O24</f>
        <v>48456000</v>
      </c>
      <c r="Q24" s="803">
        <v>19200000</v>
      </c>
      <c r="R24" s="804">
        <f>+P24-Q24</f>
        <v>29256000</v>
      </c>
      <c r="S24" s="995">
        <f t="shared" ref="S24" si="4">+R24/Q24</f>
        <v>1.5237499999999999</v>
      </c>
    </row>
    <row r="25" spans="1:21" ht="15" customHeight="1">
      <c r="A25" s="778"/>
      <c r="B25" s="786"/>
      <c r="C25" s="792"/>
      <c r="D25" s="786"/>
      <c r="E25" s="3427"/>
      <c r="F25" s="996" t="s">
        <v>876</v>
      </c>
      <c r="G25" s="997">
        <v>32000</v>
      </c>
      <c r="H25" s="996" t="s">
        <v>51</v>
      </c>
      <c r="I25" s="998">
        <v>14</v>
      </c>
      <c r="J25" s="996" t="s">
        <v>51</v>
      </c>
      <c r="K25" s="999">
        <v>2</v>
      </c>
      <c r="L25" s="996" t="s">
        <v>817</v>
      </c>
      <c r="M25" s="1000">
        <v>12</v>
      </c>
      <c r="N25" s="1001" t="s">
        <v>32</v>
      </c>
      <c r="O25" s="1002">
        <f>G25*I25*K25*M25</f>
        <v>10752000</v>
      </c>
      <c r="P25" s="806"/>
      <c r="Q25" s="807"/>
      <c r="R25" s="808"/>
      <c r="S25" s="1003"/>
    </row>
    <row r="26" spans="1:21" ht="15" customHeight="1">
      <c r="A26" s="778"/>
      <c r="B26" s="786"/>
      <c r="C26" s="792"/>
      <c r="D26" s="786"/>
      <c r="E26" s="3427"/>
      <c r="F26" s="996" t="s">
        <v>877</v>
      </c>
      <c r="G26" s="997">
        <v>22000</v>
      </c>
      <c r="H26" s="996" t="s">
        <v>817</v>
      </c>
      <c r="I26" s="998">
        <v>14</v>
      </c>
      <c r="J26" s="996" t="s">
        <v>51</v>
      </c>
      <c r="K26" s="999">
        <v>2</v>
      </c>
      <c r="L26" s="996" t="s">
        <v>817</v>
      </c>
      <c r="M26" s="1000">
        <v>12</v>
      </c>
      <c r="N26" s="1001" t="s">
        <v>820</v>
      </c>
      <c r="O26" s="1002">
        <f>G26*I26*K26*M26</f>
        <v>7392000</v>
      </c>
      <c r="P26" s="806"/>
      <c r="Q26" s="807"/>
      <c r="R26" s="808"/>
      <c r="S26" s="1003"/>
    </row>
    <row r="27" spans="1:21" ht="15" customHeight="1">
      <c r="A27" s="778"/>
      <c r="B27" s="786"/>
      <c r="C27" s="792"/>
      <c r="D27" s="786"/>
      <c r="E27" s="3427"/>
      <c r="F27" s="996" t="s">
        <v>861</v>
      </c>
      <c r="G27" s="997">
        <v>27000</v>
      </c>
      <c r="H27" s="996" t="s">
        <v>51</v>
      </c>
      <c r="I27" s="998">
        <v>14</v>
      </c>
      <c r="J27" s="996" t="s">
        <v>817</v>
      </c>
      <c r="K27" s="999">
        <v>2</v>
      </c>
      <c r="L27" s="996" t="s">
        <v>817</v>
      </c>
      <c r="M27" s="1000">
        <v>12</v>
      </c>
      <c r="N27" s="1001" t="s">
        <v>32</v>
      </c>
      <c r="O27" s="1002">
        <f>G27*I27*K27*M27</f>
        <v>9072000</v>
      </c>
      <c r="P27" s="806"/>
      <c r="Q27" s="807"/>
      <c r="R27" s="808"/>
      <c r="S27" s="1003"/>
    </row>
    <row r="28" spans="1:21" ht="15" customHeight="1">
      <c r="A28" s="778"/>
      <c r="B28" s="786"/>
      <c r="C28" s="792"/>
      <c r="D28" s="786"/>
      <c r="E28" s="3427"/>
      <c r="F28" s="996" t="s">
        <v>878</v>
      </c>
      <c r="G28" s="997">
        <v>32000</v>
      </c>
      <c r="H28" s="996" t="s">
        <v>817</v>
      </c>
      <c r="I28" s="998">
        <v>10</v>
      </c>
      <c r="J28" s="996" t="s">
        <v>51</v>
      </c>
      <c r="K28" s="999">
        <v>3</v>
      </c>
      <c r="L28" s="996" t="s">
        <v>51</v>
      </c>
      <c r="M28" s="1000">
        <v>12</v>
      </c>
      <c r="N28" s="1001" t="s">
        <v>820</v>
      </c>
      <c r="O28" s="1002">
        <f>G28*I28*K28*M28</f>
        <v>11520000</v>
      </c>
      <c r="P28" s="806"/>
      <c r="Q28" s="807"/>
      <c r="R28" s="808"/>
      <c r="S28" s="1003"/>
    </row>
    <row r="29" spans="1:21" ht="15" customHeight="1">
      <c r="A29" s="778"/>
      <c r="B29" s="786"/>
      <c r="C29" s="792"/>
      <c r="D29" s="786"/>
      <c r="E29" s="3427"/>
      <c r="F29" s="996" t="s">
        <v>879</v>
      </c>
      <c r="G29" s="997">
        <v>27000</v>
      </c>
      <c r="H29" s="996" t="s">
        <v>872</v>
      </c>
      <c r="I29" s="998">
        <v>10</v>
      </c>
      <c r="J29" s="996" t="s">
        <v>817</v>
      </c>
      <c r="K29" s="999">
        <v>3</v>
      </c>
      <c r="L29" s="996" t="s">
        <v>817</v>
      </c>
      <c r="M29" s="1000">
        <v>12</v>
      </c>
      <c r="N29" s="1001" t="s">
        <v>32</v>
      </c>
      <c r="O29" s="1002">
        <f>G29*I29*K29*M29</f>
        <v>9720000</v>
      </c>
      <c r="P29" s="806"/>
      <c r="Q29" s="807"/>
      <c r="R29" s="808"/>
      <c r="S29" s="1003"/>
      <c r="U29" s="72">
        <f>O62-U12</f>
        <v>89136000</v>
      </c>
    </row>
    <row r="30" spans="1:21" ht="15" customHeight="1">
      <c r="A30" s="778"/>
      <c r="B30" s="786"/>
      <c r="C30" s="792"/>
      <c r="D30" s="786"/>
      <c r="E30" s="3427"/>
      <c r="F30" s="992" t="s">
        <v>880</v>
      </c>
      <c r="G30" s="1004"/>
      <c r="H30" s="992"/>
      <c r="I30" s="992"/>
      <c r="J30" s="992"/>
      <c r="K30" s="992"/>
      <c r="L30" s="992"/>
      <c r="M30" s="992"/>
      <c r="N30" s="992"/>
      <c r="O30" s="994">
        <f>SUM(O31:O34)</f>
        <v>41976000</v>
      </c>
      <c r="P30" s="1005">
        <f>O30</f>
        <v>41976000</v>
      </c>
      <c r="Q30" s="803">
        <v>21000000</v>
      </c>
      <c r="R30" s="804">
        <f>+P30-Q30</f>
        <v>20976000</v>
      </c>
      <c r="S30" s="995">
        <f t="shared" ref="S30" si="5">+R30/Q30</f>
        <v>0.99885714285714289</v>
      </c>
    </row>
    <row r="31" spans="1:21" ht="15" customHeight="1">
      <c r="A31" s="778"/>
      <c r="B31" s="786"/>
      <c r="C31" s="792"/>
      <c r="D31" s="786"/>
      <c r="E31" s="3427"/>
      <c r="F31" s="996" t="s">
        <v>881</v>
      </c>
      <c r="G31" s="997">
        <v>27000</v>
      </c>
      <c r="H31" s="996" t="s">
        <v>862</v>
      </c>
      <c r="I31" s="998">
        <v>10</v>
      </c>
      <c r="J31" s="996" t="s">
        <v>862</v>
      </c>
      <c r="K31" s="999">
        <v>3</v>
      </c>
      <c r="L31" s="996" t="s">
        <v>51</v>
      </c>
      <c r="M31" s="1000">
        <v>12</v>
      </c>
      <c r="N31" s="1001" t="s">
        <v>820</v>
      </c>
      <c r="O31" s="1002">
        <f>G31*I31*K31*M31</f>
        <v>9720000</v>
      </c>
      <c r="P31" s="806"/>
      <c r="Q31" s="807"/>
      <c r="R31" s="808"/>
      <c r="S31" s="1003"/>
    </row>
    <row r="32" spans="1:21" ht="15" customHeight="1">
      <c r="A32" s="778"/>
      <c r="B32" s="786"/>
      <c r="C32" s="792"/>
      <c r="D32" s="786"/>
      <c r="E32" s="3427"/>
      <c r="F32" s="996" t="s">
        <v>866</v>
      </c>
      <c r="G32" s="997">
        <v>32000</v>
      </c>
      <c r="H32" s="996" t="s">
        <v>51</v>
      </c>
      <c r="I32" s="998">
        <v>7</v>
      </c>
      <c r="J32" s="996" t="s">
        <v>817</v>
      </c>
      <c r="K32" s="999">
        <v>1</v>
      </c>
      <c r="L32" s="996" t="s">
        <v>51</v>
      </c>
      <c r="M32" s="1000">
        <v>12</v>
      </c>
      <c r="N32" s="1001" t="s">
        <v>32</v>
      </c>
      <c r="O32" s="1002">
        <f>G32*I32*K32*M32</f>
        <v>2688000</v>
      </c>
      <c r="P32" s="806"/>
      <c r="Q32" s="807"/>
      <c r="R32" s="808"/>
      <c r="S32" s="1003"/>
    </row>
    <row r="33" spans="1:21" ht="15" customHeight="1">
      <c r="A33" s="778"/>
      <c r="B33" s="786"/>
      <c r="C33" s="792"/>
      <c r="D33" s="786"/>
      <c r="E33" s="3427"/>
      <c r="F33" s="996" t="s">
        <v>882</v>
      </c>
      <c r="G33" s="997">
        <v>32000</v>
      </c>
      <c r="H33" s="996" t="s">
        <v>817</v>
      </c>
      <c r="I33" s="998">
        <v>7</v>
      </c>
      <c r="J33" s="996" t="s">
        <v>51</v>
      </c>
      <c r="K33" s="999">
        <v>1</v>
      </c>
      <c r="L33" s="996" t="s">
        <v>817</v>
      </c>
      <c r="M33" s="1000">
        <v>12</v>
      </c>
      <c r="N33" s="1001" t="s">
        <v>820</v>
      </c>
      <c r="O33" s="1002">
        <f>G33*I33*K33*M33</f>
        <v>2688000</v>
      </c>
      <c r="P33" s="806"/>
      <c r="Q33" s="807"/>
      <c r="R33" s="808"/>
      <c r="S33" s="1003"/>
    </row>
    <row r="34" spans="1:21" ht="15" customHeight="1">
      <c r="A34" s="778"/>
      <c r="B34" s="786"/>
      <c r="C34" s="792"/>
      <c r="D34" s="786"/>
      <c r="E34" s="3427"/>
      <c r="F34" s="996" t="s">
        <v>883</v>
      </c>
      <c r="G34" s="997">
        <v>32000</v>
      </c>
      <c r="H34" s="996" t="s">
        <v>817</v>
      </c>
      <c r="I34" s="998">
        <v>7</v>
      </c>
      <c r="J34" s="996" t="s">
        <v>817</v>
      </c>
      <c r="K34" s="999">
        <v>10</v>
      </c>
      <c r="L34" s="996" t="s">
        <v>817</v>
      </c>
      <c r="M34" s="1000">
        <v>12</v>
      </c>
      <c r="N34" s="1001" t="s">
        <v>32</v>
      </c>
      <c r="O34" s="1002">
        <f>G34*I34*K34*M34</f>
        <v>26880000</v>
      </c>
      <c r="P34" s="806"/>
      <c r="Q34" s="807"/>
      <c r="R34" s="808"/>
      <c r="S34" s="1003"/>
    </row>
    <row r="35" spans="1:21" ht="15" customHeight="1">
      <c r="A35" s="778"/>
      <c r="B35" s="786"/>
      <c r="C35" s="792"/>
      <c r="D35" s="786"/>
      <c r="E35" s="3427"/>
      <c r="F35" s="992" t="s">
        <v>884</v>
      </c>
      <c r="G35" s="1004"/>
      <c r="H35" s="992"/>
      <c r="I35" s="992"/>
      <c r="J35" s="992"/>
      <c r="K35" s="992"/>
      <c r="L35" s="992"/>
      <c r="M35" s="992"/>
      <c r="N35" s="992"/>
      <c r="O35" s="994">
        <f>SUM(O36:O38)</f>
        <v>15120000</v>
      </c>
      <c r="P35" s="1005">
        <f>O35</f>
        <v>15120000</v>
      </c>
      <c r="Q35" s="803">
        <v>0</v>
      </c>
      <c r="R35" s="804">
        <f>+P35-Q35</f>
        <v>15120000</v>
      </c>
      <c r="S35" s="995"/>
    </row>
    <row r="36" spans="1:21" ht="15" customHeight="1">
      <c r="A36" s="1130"/>
      <c r="B36" s="846"/>
      <c r="C36" s="780"/>
      <c r="D36" s="846"/>
      <c r="E36" s="3428"/>
      <c r="F36" s="2153" t="s">
        <v>885</v>
      </c>
      <c r="G36" s="2152">
        <v>42000</v>
      </c>
      <c r="H36" s="2153" t="s">
        <v>817</v>
      </c>
      <c r="I36" s="2989">
        <v>10</v>
      </c>
      <c r="J36" s="2153" t="s">
        <v>51</v>
      </c>
      <c r="K36" s="2990">
        <v>1</v>
      </c>
      <c r="L36" s="2153" t="s">
        <v>817</v>
      </c>
      <c r="M36" s="2155">
        <v>12</v>
      </c>
      <c r="N36" s="2157" t="s">
        <v>32</v>
      </c>
      <c r="O36" s="2991">
        <f>G36*I36*K36*M36</f>
        <v>5040000</v>
      </c>
      <c r="P36" s="828"/>
      <c r="Q36" s="829"/>
      <c r="R36" s="830"/>
      <c r="S36" s="2992"/>
    </row>
    <row r="37" spans="1:21" ht="15" customHeight="1">
      <c r="A37" s="778"/>
      <c r="B37" s="786"/>
      <c r="C37" s="792"/>
      <c r="D37" s="786"/>
      <c r="E37" s="3427"/>
      <c r="F37" s="996" t="s">
        <v>886</v>
      </c>
      <c r="G37" s="997">
        <v>42000</v>
      </c>
      <c r="H37" s="996" t="s">
        <v>51</v>
      </c>
      <c r="I37" s="998">
        <v>10</v>
      </c>
      <c r="J37" s="996" t="s">
        <v>817</v>
      </c>
      <c r="K37" s="999">
        <v>1</v>
      </c>
      <c r="L37" s="996" t="s">
        <v>51</v>
      </c>
      <c r="M37" s="1000">
        <v>12</v>
      </c>
      <c r="N37" s="1001" t="s">
        <v>32</v>
      </c>
      <c r="O37" s="1002">
        <f>G37*I37*K37*M37</f>
        <v>5040000</v>
      </c>
      <c r="P37" s="806"/>
      <c r="Q37" s="807"/>
      <c r="R37" s="808"/>
      <c r="S37" s="1003"/>
    </row>
    <row r="38" spans="1:21" ht="15" customHeight="1">
      <c r="A38" s="778"/>
      <c r="B38" s="786"/>
      <c r="C38" s="792"/>
      <c r="D38" s="786"/>
      <c r="E38" s="3427"/>
      <c r="F38" s="996" t="s">
        <v>887</v>
      </c>
      <c r="G38" s="997">
        <v>42000</v>
      </c>
      <c r="H38" s="996" t="s">
        <v>817</v>
      </c>
      <c r="I38" s="998">
        <v>10</v>
      </c>
      <c r="J38" s="996" t="s">
        <v>817</v>
      </c>
      <c r="K38" s="999">
        <v>1</v>
      </c>
      <c r="L38" s="996" t="s">
        <v>51</v>
      </c>
      <c r="M38" s="1000">
        <v>12</v>
      </c>
      <c r="N38" s="1001" t="s">
        <v>820</v>
      </c>
      <c r="O38" s="1002">
        <f>G38*I38*K38*M38</f>
        <v>5040000</v>
      </c>
      <c r="P38" s="806"/>
      <c r="Q38" s="807"/>
      <c r="R38" s="808"/>
      <c r="S38" s="1003"/>
    </row>
    <row r="39" spans="1:21" ht="15" customHeight="1">
      <c r="A39" s="778"/>
      <c r="B39" s="786"/>
      <c r="C39" s="792"/>
      <c r="D39" s="786"/>
      <c r="E39" s="3427"/>
      <c r="F39" s="992" t="s">
        <v>888</v>
      </c>
      <c r="G39" s="1004"/>
      <c r="H39" s="992"/>
      <c r="I39" s="992"/>
      <c r="J39" s="992"/>
      <c r="K39" s="992"/>
      <c r="L39" s="992"/>
      <c r="M39" s="992"/>
      <c r="N39" s="992"/>
      <c r="O39" s="994">
        <f>SUM(O40:O46)</f>
        <v>71700000</v>
      </c>
      <c r="P39" s="1005">
        <f>O39</f>
        <v>71700000</v>
      </c>
      <c r="Q39" s="803">
        <v>24000000</v>
      </c>
      <c r="R39" s="804">
        <f>+P39-Q39</f>
        <v>47700000</v>
      </c>
      <c r="S39" s="995">
        <f t="shared" ref="S39" si="6">+R39/Q39</f>
        <v>1.9875</v>
      </c>
    </row>
    <row r="40" spans="1:21" ht="15" customHeight="1">
      <c r="A40" s="778"/>
      <c r="B40" s="786"/>
      <c r="C40" s="792"/>
      <c r="D40" s="786"/>
      <c r="E40" s="3427"/>
      <c r="F40" s="996" t="s">
        <v>889</v>
      </c>
      <c r="G40" s="997">
        <v>32000</v>
      </c>
      <c r="H40" s="996" t="s">
        <v>21</v>
      </c>
      <c r="I40" s="998">
        <v>10</v>
      </c>
      <c r="J40" s="996" t="s">
        <v>21</v>
      </c>
      <c r="K40" s="999">
        <v>2</v>
      </c>
      <c r="L40" s="996" t="s">
        <v>21</v>
      </c>
      <c r="M40" s="1000">
        <v>12</v>
      </c>
      <c r="N40" s="1001" t="s">
        <v>32</v>
      </c>
      <c r="O40" s="1002">
        <f t="shared" ref="O40:O46" si="7">G40*I40*K40*M40</f>
        <v>7680000</v>
      </c>
      <c r="P40" s="806"/>
      <c r="Q40" s="807"/>
      <c r="R40" s="808"/>
      <c r="S40" s="1003"/>
    </row>
    <row r="41" spans="1:21" ht="15" customHeight="1">
      <c r="A41" s="778"/>
      <c r="B41" s="786"/>
      <c r="C41" s="792"/>
      <c r="D41" s="786"/>
      <c r="E41" s="3427"/>
      <c r="F41" s="996" t="s">
        <v>860</v>
      </c>
      <c r="G41" s="997">
        <v>17000</v>
      </c>
      <c r="H41" s="996" t="s">
        <v>21</v>
      </c>
      <c r="I41" s="998">
        <v>10</v>
      </c>
      <c r="J41" s="996" t="s">
        <v>21</v>
      </c>
      <c r="K41" s="999">
        <v>3</v>
      </c>
      <c r="L41" s="996" t="s">
        <v>21</v>
      </c>
      <c r="M41" s="1000">
        <v>12</v>
      </c>
      <c r="N41" s="1001" t="s">
        <v>820</v>
      </c>
      <c r="O41" s="1002">
        <f t="shared" si="7"/>
        <v>6120000</v>
      </c>
      <c r="P41" s="1006"/>
      <c r="Q41" s="1007"/>
      <c r="R41" s="1008"/>
      <c r="S41" s="1009"/>
    </row>
    <row r="42" spans="1:21" ht="15" customHeight="1">
      <c r="A42" s="778"/>
      <c r="B42" s="786"/>
      <c r="C42" s="792"/>
      <c r="D42" s="786"/>
      <c r="E42" s="3427"/>
      <c r="F42" s="996" t="s">
        <v>861</v>
      </c>
      <c r="G42" s="997">
        <v>22000</v>
      </c>
      <c r="H42" s="996" t="s">
        <v>21</v>
      </c>
      <c r="I42" s="998">
        <v>10</v>
      </c>
      <c r="J42" s="996" t="s">
        <v>21</v>
      </c>
      <c r="K42" s="999">
        <v>3</v>
      </c>
      <c r="L42" s="996" t="s">
        <v>21</v>
      </c>
      <c r="M42" s="1000">
        <v>12</v>
      </c>
      <c r="N42" s="1001" t="s">
        <v>820</v>
      </c>
      <c r="O42" s="1002">
        <f t="shared" si="7"/>
        <v>7920000</v>
      </c>
      <c r="P42" s="1006"/>
      <c r="Q42" s="1007"/>
      <c r="R42" s="1008"/>
      <c r="S42" s="1009"/>
    </row>
    <row r="43" spans="1:21" ht="15" customHeight="1">
      <c r="A43" s="778"/>
      <c r="B43" s="786"/>
      <c r="C43" s="792"/>
      <c r="D43" s="786"/>
      <c r="E43" s="3427"/>
      <c r="F43" s="996" t="s">
        <v>890</v>
      </c>
      <c r="G43" s="997">
        <v>22000</v>
      </c>
      <c r="H43" s="996" t="s">
        <v>21</v>
      </c>
      <c r="I43" s="998">
        <v>7</v>
      </c>
      <c r="J43" s="996" t="s">
        <v>21</v>
      </c>
      <c r="K43" s="999">
        <v>7</v>
      </c>
      <c r="L43" s="996" t="s">
        <v>21</v>
      </c>
      <c r="M43" s="1000">
        <v>12</v>
      </c>
      <c r="N43" s="1001" t="s">
        <v>32</v>
      </c>
      <c r="O43" s="1002">
        <f t="shared" si="7"/>
        <v>12936000</v>
      </c>
      <c r="P43" s="1006"/>
      <c r="Q43" s="1007"/>
      <c r="R43" s="1008"/>
      <c r="S43" s="1009"/>
    </row>
    <row r="44" spans="1:21" ht="15" customHeight="1">
      <c r="A44" s="778"/>
      <c r="B44" s="786"/>
      <c r="C44" s="792"/>
      <c r="D44" s="786"/>
      <c r="E44" s="3427"/>
      <c r="F44" s="996" t="s">
        <v>891</v>
      </c>
      <c r="G44" s="997">
        <v>32000</v>
      </c>
      <c r="H44" s="996" t="s">
        <v>21</v>
      </c>
      <c r="I44" s="998">
        <v>7</v>
      </c>
      <c r="J44" s="996" t="s">
        <v>21</v>
      </c>
      <c r="K44" s="999">
        <v>3</v>
      </c>
      <c r="L44" s="996" t="s">
        <v>21</v>
      </c>
      <c r="M44" s="1000">
        <v>12</v>
      </c>
      <c r="N44" s="1001" t="s">
        <v>820</v>
      </c>
      <c r="O44" s="1002">
        <f t="shared" si="7"/>
        <v>8064000</v>
      </c>
      <c r="P44" s="806"/>
      <c r="Q44" s="807"/>
      <c r="R44" s="808"/>
      <c r="S44" s="1003"/>
    </row>
    <row r="45" spans="1:21" ht="15" customHeight="1">
      <c r="A45" s="778"/>
      <c r="B45" s="786"/>
      <c r="C45" s="792"/>
      <c r="D45" s="786"/>
      <c r="E45" s="3427"/>
      <c r="F45" s="996" t="s">
        <v>892</v>
      </c>
      <c r="G45" s="997">
        <v>27000</v>
      </c>
      <c r="H45" s="996" t="s">
        <v>21</v>
      </c>
      <c r="I45" s="998">
        <v>7</v>
      </c>
      <c r="J45" s="996" t="s">
        <v>21</v>
      </c>
      <c r="K45" s="999">
        <v>3</v>
      </c>
      <c r="L45" s="996" t="s">
        <v>21</v>
      </c>
      <c r="M45" s="1000">
        <v>12</v>
      </c>
      <c r="N45" s="1001" t="s">
        <v>32</v>
      </c>
      <c r="O45" s="1002">
        <f t="shared" si="7"/>
        <v>6804000</v>
      </c>
      <c r="P45" s="806"/>
      <c r="Q45" s="807"/>
      <c r="R45" s="808"/>
      <c r="S45" s="1003"/>
    </row>
    <row r="46" spans="1:21" ht="15" customHeight="1">
      <c r="A46" s="778"/>
      <c r="B46" s="786"/>
      <c r="C46" s="792"/>
      <c r="D46" s="786"/>
      <c r="E46" s="3427"/>
      <c r="F46" s="996" t="s">
        <v>893</v>
      </c>
      <c r="G46" s="997">
        <v>22000</v>
      </c>
      <c r="H46" s="996" t="s">
        <v>21</v>
      </c>
      <c r="I46" s="998">
        <v>7</v>
      </c>
      <c r="J46" s="996" t="s">
        <v>21</v>
      </c>
      <c r="K46" s="999">
        <v>12</v>
      </c>
      <c r="L46" s="996" t="s">
        <v>21</v>
      </c>
      <c r="M46" s="1000">
        <v>12</v>
      </c>
      <c r="N46" s="1001" t="s">
        <v>32</v>
      </c>
      <c r="O46" s="1002">
        <f t="shared" si="7"/>
        <v>22176000</v>
      </c>
      <c r="P46" s="806"/>
      <c r="Q46" s="807"/>
      <c r="R46" s="808"/>
      <c r="S46" s="1003"/>
    </row>
    <row r="47" spans="1:21" ht="15" customHeight="1">
      <c r="A47" s="778"/>
      <c r="B47" s="786"/>
      <c r="C47" s="792"/>
      <c r="D47" s="786"/>
      <c r="E47" s="3637" t="s">
        <v>2984</v>
      </c>
      <c r="F47" s="3638"/>
      <c r="G47" s="3638"/>
      <c r="H47" s="3638"/>
      <c r="I47" s="3638"/>
      <c r="J47" s="3638"/>
      <c r="K47" s="3638"/>
      <c r="L47" s="3638"/>
      <c r="M47" s="3638"/>
      <c r="N47" s="3638"/>
      <c r="O47" s="3639"/>
      <c r="P47" s="645">
        <f>O48+O49+O50+O51</f>
        <v>85900000</v>
      </c>
      <c r="Q47" s="645">
        <v>0</v>
      </c>
      <c r="R47" s="646">
        <f>+P47-Q47</f>
        <v>85900000</v>
      </c>
      <c r="S47" s="647"/>
      <c r="U47" s="72"/>
    </row>
    <row r="48" spans="1:21" ht="15" customHeight="1">
      <c r="A48" s="778"/>
      <c r="B48" s="786"/>
      <c r="C48" s="792"/>
      <c r="D48" s="1010"/>
      <c r="E48" s="3429"/>
      <c r="F48" s="1011" t="s">
        <v>894</v>
      </c>
      <c r="G48" s="1012">
        <v>100000</v>
      </c>
      <c r="H48" s="1011" t="s">
        <v>21</v>
      </c>
      <c r="I48" s="1013">
        <v>4</v>
      </c>
      <c r="J48" s="1011"/>
      <c r="K48" s="1014"/>
      <c r="L48" s="1011"/>
      <c r="M48" s="1011"/>
      <c r="N48" s="1015" t="s">
        <v>22</v>
      </c>
      <c r="O48" s="1016">
        <f>+I48*G48</f>
        <v>400000</v>
      </c>
      <c r="P48" s="1017">
        <v>400000</v>
      </c>
      <c r="Q48" s="1018">
        <v>0</v>
      </c>
      <c r="R48" s="1019">
        <f>+P48-Q48</f>
        <v>400000</v>
      </c>
      <c r="S48" s="1020"/>
    </row>
    <row r="49" spans="1:28" ht="15" customHeight="1">
      <c r="A49" s="778"/>
      <c r="B49" s="786"/>
      <c r="C49" s="792"/>
      <c r="D49" s="1010"/>
      <c r="E49" s="3430"/>
      <c r="F49" s="992" t="s">
        <v>895</v>
      </c>
      <c r="G49" s="1004">
        <v>50000</v>
      </c>
      <c r="H49" s="992" t="s">
        <v>21</v>
      </c>
      <c r="I49" s="1021">
        <v>10</v>
      </c>
      <c r="J49" s="992"/>
      <c r="K49" s="992"/>
      <c r="L49" s="992"/>
      <c r="M49" s="992"/>
      <c r="N49" s="1022" t="s">
        <v>22</v>
      </c>
      <c r="O49" s="1023">
        <f>+I49*G49</f>
        <v>500000</v>
      </c>
      <c r="P49" s="1017">
        <v>500000</v>
      </c>
      <c r="Q49" s="1018">
        <v>0</v>
      </c>
      <c r="R49" s="1019">
        <f>+P49-Q49</f>
        <v>500000</v>
      </c>
      <c r="S49" s="1020"/>
    </row>
    <row r="50" spans="1:28" ht="15" customHeight="1">
      <c r="A50" s="778"/>
      <c r="B50" s="786"/>
      <c r="C50" s="792"/>
      <c r="D50" s="1010"/>
      <c r="E50" s="3430"/>
      <c r="F50" s="992" t="s">
        <v>896</v>
      </c>
      <c r="G50" s="1004">
        <v>4000000</v>
      </c>
      <c r="H50" s="992" t="s">
        <v>21</v>
      </c>
      <c r="I50" s="1024">
        <v>20</v>
      </c>
      <c r="J50" s="992"/>
      <c r="K50" s="1025"/>
      <c r="L50" s="992"/>
      <c r="M50" s="992"/>
      <c r="N50" s="1022" t="s">
        <v>22</v>
      </c>
      <c r="O50" s="1023">
        <f>+I50*G50</f>
        <v>80000000</v>
      </c>
      <c r="P50" s="1026">
        <v>80000000</v>
      </c>
      <c r="Q50" s="1018">
        <v>0</v>
      </c>
      <c r="R50" s="1019">
        <f t="shared" ref="R50:R51" si="8">+P50-Q50</f>
        <v>80000000</v>
      </c>
      <c r="S50" s="1020"/>
      <c r="U50" s="66">
        <v>914627000</v>
      </c>
    </row>
    <row r="51" spans="1:28" ht="15" customHeight="1">
      <c r="A51" s="778"/>
      <c r="B51" s="786"/>
      <c r="C51" s="792"/>
      <c r="D51" s="1010"/>
      <c r="E51" s="3431"/>
      <c r="F51" s="1027" t="s">
        <v>897</v>
      </c>
      <c r="G51" s="1028">
        <v>10000</v>
      </c>
      <c r="H51" s="1027" t="s">
        <v>21</v>
      </c>
      <c r="I51" s="1029">
        <v>100</v>
      </c>
      <c r="J51" s="1027" t="s">
        <v>21</v>
      </c>
      <c r="K51" s="1030">
        <v>5</v>
      </c>
      <c r="L51" s="1027"/>
      <c r="M51" s="1027"/>
      <c r="N51" s="1031" t="s">
        <v>22</v>
      </c>
      <c r="O51" s="1032">
        <f>+I51*G51*K51</f>
        <v>5000000</v>
      </c>
      <c r="P51" s="1033">
        <v>5000000</v>
      </c>
      <c r="Q51" s="1034">
        <v>0</v>
      </c>
      <c r="R51" s="1019">
        <f t="shared" si="8"/>
        <v>5000000</v>
      </c>
      <c r="S51" s="1020"/>
      <c r="U51" s="1121"/>
    </row>
    <row r="52" spans="1:28" s="128" customFormat="1" ht="15" customHeight="1">
      <c r="A52" s="778"/>
      <c r="B52" s="786"/>
      <c r="C52" s="792"/>
      <c r="D52" s="684" t="s">
        <v>371</v>
      </c>
      <c r="E52" s="2229"/>
      <c r="F52" s="635"/>
      <c r="G52" s="636"/>
      <c r="H52" s="635"/>
      <c r="I52" s="635"/>
      <c r="J52" s="635"/>
      <c r="K52" s="635"/>
      <c r="L52" s="635"/>
      <c r="M52" s="635"/>
      <c r="N52" s="637"/>
      <c r="O52" s="636"/>
      <c r="P52" s="685">
        <f>P53</f>
        <v>1232000</v>
      </c>
      <c r="Q52" s="685">
        <f>Q53</f>
        <v>1800000</v>
      </c>
      <c r="R52" s="639">
        <f>+P52-Q52</f>
        <v>-568000</v>
      </c>
      <c r="S52" s="640">
        <f>+R52/Q52</f>
        <v>-0.31555555555555553</v>
      </c>
    </row>
    <row r="53" spans="1:28" ht="15" customHeight="1">
      <c r="A53" s="778"/>
      <c r="B53" s="786"/>
      <c r="C53" s="792"/>
      <c r="D53" s="844"/>
      <c r="E53" s="3637" t="s">
        <v>157</v>
      </c>
      <c r="F53" s="3638"/>
      <c r="G53" s="3638"/>
      <c r="H53" s="3638"/>
      <c r="I53" s="3638"/>
      <c r="J53" s="3638"/>
      <c r="K53" s="3638"/>
      <c r="L53" s="3638"/>
      <c r="M53" s="3638"/>
      <c r="N53" s="3638"/>
      <c r="O53" s="3639"/>
      <c r="P53" s="645">
        <f>O54</f>
        <v>1232000</v>
      </c>
      <c r="Q53" s="645">
        <v>1800000</v>
      </c>
      <c r="R53" s="646">
        <f>+P53-Q53</f>
        <v>-568000</v>
      </c>
      <c r="S53" s="647">
        <f t="shared" ref="S53" si="9">+R53/Q53</f>
        <v>-0.31555555555555553</v>
      </c>
    </row>
    <row r="54" spans="1:28" ht="15" customHeight="1">
      <c r="A54" s="778"/>
      <c r="B54" s="786"/>
      <c r="C54" s="792"/>
      <c r="D54" s="786"/>
      <c r="E54" s="3410"/>
      <c r="F54" s="1035" t="s">
        <v>158</v>
      </c>
      <c r="G54" s="1036"/>
      <c r="H54" s="1035"/>
      <c r="I54" s="1035"/>
      <c r="J54" s="1035"/>
      <c r="K54" s="1035"/>
      <c r="L54" s="1035"/>
      <c r="M54" s="1035"/>
      <c r="N54" s="1037"/>
      <c r="O54" s="1038">
        <f>SUM(O55:O55)</f>
        <v>1232000</v>
      </c>
      <c r="P54" s="653">
        <f>O54</f>
        <v>1232000</v>
      </c>
      <c r="Q54" s="1039">
        <v>1800000</v>
      </c>
      <c r="R54" s="1040">
        <f>+P54-Q54</f>
        <v>-568000</v>
      </c>
      <c r="S54" s="1041">
        <f t="shared" ref="S54" si="10">+R54/Q54</f>
        <v>-0.31555555555555553</v>
      </c>
      <c r="U54" s="66">
        <v>89156000</v>
      </c>
      <c r="AB54" s="66">
        <v>3714.8333333333335</v>
      </c>
    </row>
    <row r="55" spans="1:28" ht="15" customHeight="1">
      <c r="A55" s="778"/>
      <c r="B55" s="786"/>
      <c r="C55" s="792"/>
      <c r="D55" s="846"/>
      <c r="E55" s="3432"/>
      <c r="F55" s="1042" t="s">
        <v>159</v>
      </c>
      <c r="G55" s="1043">
        <v>102666.66666666667</v>
      </c>
      <c r="H55" s="1044" t="s">
        <v>21</v>
      </c>
      <c r="I55" s="1045">
        <v>1</v>
      </c>
      <c r="J55" s="1044" t="s">
        <v>21</v>
      </c>
      <c r="K55" s="1046">
        <v>12</v>
      </c>
      <c r="L55" s="780"/>
      <c r="M55" s="780"/>
      <c r="N55" s="782" t="s">
        <v>22</v>
      </c>
      <c r="O55" s="781">
        <f>ROUNDUP(G55*I55*K55,-3)</f>
        <v>1232000</v>
      </c>
      <c r="P55" s="866"/>
      <c r="Q55" s="866"/>
      <c r="R55" s="924"/>
      <c r="S55" s="925"/>
    </row>
    <row r="56" spans="1:28" ht="15" hidden="1" customHeight="1">
      <c r="A56" s="778"/>
      <c r="B56" s="786"/>
      <c r="C56" s="792"/>
      <c r="D56" s="786"/>
      <c r="E56" s="3339" t="s">
        <v>372</v>
      </c>
      <c r="F56" s="820"/>
      <c r="G56" s="1047"/>
      <c r="H56" s="820"/>
      <c r="I56" s="820"/>
      <c r="J56" s="820"/>
      <c r="K56" s="820"/>
      <c r="L56" s="820"/>
      <c r="M56" s="820"/>
      <c r="N56" s="1048"/>
      <c r="O56" s="1047"/>
      <c r="P56" s="1049">
        <f>O57</f>
        <v>0</v>
      </c>
      <c r="Q56" s="1049">
        <v>0</v>
      </c>
      <c r="R56" s="1050">
        <f>+P56-Q56</f>
        <v>0</v>
      </c>
      <c r="S56" s="1051">
        <v>0</v>
      </c>
    </row>
    <row r="57" spans="1:28" ht="15" hidden="1" customHeight="1">
      <c r="A57" s="778"/>
      <c r="B57" s="786"/>
      <c r="C57" s="792"/>
      <c r="D57" s="786"/>
      <c r="E57" s="1572"/>
      <c r="F57" s="792"/>
      <c r="G57" s="810"/>
      <c r="H57" s="792"/>
      <c r="I57" s="792"/>
      <c r="J57" s="792"/>
      <c r="K57" s="792"/>
      <c r="L57" s="792"/>
      <c r="M57" s="792"/>
      <c r="N57" s="811"/>
      <c r="O57" s="1052"/>
      <c r="P57" s="858"/>
      <c r="Q57" s="858"/>
      <c r="R57" s="859"/>
      <c r="S57" s="891"/>
    </row>
    <row r="58" spans="1:28" ht="15" hidden="1" customHeight="1">
      <c r="A58" s="778"/>
      <c r="B58" s="786"/>
      <c r="C58" s="792"/>
      <c r="D58" s="786"/>
      <c r="E58" s="3433"/>
      <c r="F58" s="1042"/>
      <c r="G58" s="1053"/>
      <c r="H58" s="780"/>
      <c r="I58" s="1054"/>
      <c r="J58" s="780"/>
      <c r="K58" s="1055"/>
      <c r="L58" s="780"/>
      <c r="M58" s="780"/>
      <c r="N58" s="782"/>
      <c r="O58" s="781"/>
      <c r="P58" s="866"/>
      <c r="Q58" s="866"/>
      <c r="R58" s="924"/>
      <c r="S58" s="925"/>
    </row>
    <row r="59" spans="1:28" ht="15" customHeight="1">
      <c r="A59" s="778"/>
      <c r="B59" s="786"/>
      <c r="C59" s="792"/>
      <c r="D59" s="684" t="s">
        <v>373</v>
      </c>
      <c r="E59" s="3288"/>
      <c r="F59" s="716"/>
      <c r="G59" s="717"/>
      <c r="H59" s="716"/>
      <c r="I59" s="716"/>
      <c r="J59" s="716"/>
      <c r="K59" s="716"/>
      <c r="L59" s="716"/>
      <c r="M59" s="716"/>
      <c r="N59" s="718"/>
      <c r="O59" s="717"/>
      <c r="P59" s="685">
        <f>P60</f>
        <v>89136000</v>
      </c>
      <c r="Q59" s="685">
        <f>Q60</f>
        <v>38853000</v>
      </c>
      <c r="R59" s="639">
        <f>+P59-Q59</f>
        <v>50283000</v>
      </c>
      <c r="S59" s="640">
        <f>+R59/Q59</f>
        <v>1.2941857771600649</v>
      </c>
      <c r="U59" s="1121">
        <f>O55-U12</f>
        <v>1232000</v>
      </c>
    </row>
    <row r="60" spans="1:28" ht="15" customHeight="1">
      <c r="A60" s="778"/>
      <c r="B60" s="786"/>
      <c r="C60" s="792"/>
      <c r="D60" s="844"/>
      <c r="E60" s="3637" t="s">
        <v>374</v>
      </c>
      <c r="F60" s="3638"/>
      <c r="G60" s="3638"/>
      <c r="H60" s="3638"/>
      <c r="I60" s="3638"/>
      <c r="J60" s="3638"/>
      <c r="K60" s="3638"/>
      <c r="L60" s="3638"/>
      <c r="M60" s="3638"/>
      <c r="N60" s="3638"/>
      <c r="O60" s="3639"/>
      <c r="P60" s="645">
        <f>O61</f>
        <v>89136000</v>
      </c>
      <c r="Q60" s="645">
        <v>38853000</v>
      </c>
      <c r="R60" s="646">
        <f>+P60-Q60</f>
        <v>50283000</v>
      </c>
      <c r="S60" s="647">
        <f t="shared" ref="S60" si="11">+R60/Q60</f>
        <v>1.2941857771600649</v>
      </c>
    </row>
    <row r="61" spans="1:28" ht="15" customHeight="1">
      <c r="A61" s="778"/>
      <c r="B61" s="786"/>
      <c r="C61" s="792"/>
      <c r="D61" s="786"/>
      <c r="E61" s="3410"/>
      <c r="F61" s="1035" t="s">
        <v>163</v>
      </c>
      <c r="G61" s="1036"/>
      <c r="H61" s="1035"/>
      <c r="I61" s="1035"/>
      <c r="J61" s="1035"/>
      <c r="K61" s="1035"/>
      <c r="L61" s="1035"/>
      <c r="M61" s="1035"/>
      <c r="N61" s="1037"/>
      <c r="O61" s="1038">
        <f>SUM(O62:O62)</f>
        <v>89136000</v>
      </c>
      <c r="P61" s="653">
        <f>O61</f>
        <v>89136000</v>
      </c>
      <c r="Q61" s="1039">
        <v>38853000</v>
      </c>
      <c r="R61" s="1040">
        <f>+P61-Q61</f>
        <v>50283000</v>
      </c>
      <c r="S61" s="1041">
        <f t="shared" ref="S61" si="12">+R61/Q61</f>
        <v>1.2941857771600649</v>
      </c>
      <c r="U61" s="72">
        <f>U59/12</f>
        <v>102666.66666666667</v>
      </c>
    </row>
    <row r="62" spans="1:28" ht="15" customHeight="1">
      <c r="A62" s="778"/>
      <c r="B62" s="786"/>
      <c r="C62" s="780"/>
      <c r="D62" s="846"/>
      <c r="E62" s="3432"/>
      <c r="F62" s="1042" t="s">
        <v>164</v>
      </c>
      <c r="G62" s="1043">
        <v>3714</v>
      </c>
      <c r="H62" s="1044" t="s">
        <v>51</v>
      </c>
      <c r="I62" s="1056">
        <v>80</v>
      </c>
      <c r="J62" s="1044" t="s">
        <v>21</v>
      </c>
      <c r="K62" s="1057">
        <v>25</v>
      </c>
      <c r="L62" s="1044" t="s">
        <v>21</v>
      </c>
      <c r="M62" s="1046">
        <v>12</v>
      </c>
      <c r="N62" s="782" t="s">
        <v>122</v>
      </c>
      <c r="O62" s="781">
        <f>ROUNDUP(G62*I62*K62*M62,-3)</f>
        <v>89136000</v>
      </c>
      <c r="P62" s="866"/>
      <c r="Q62" s="866"/>
      <c r="R62" s="924"/>
      <c r="S62" s="925"/>
      <c r="V62" s="72"/>
    </row>
    <row r="63" spans="1:28" s="128" customFormat="1" ht="15" customHeight="1">
      <c r="A63" s="778"/>
      <c r="B63" s="786"/>
      <c r="C63" s="3657" t="s">
        <v>3180</v>
      </c>
      <c r="D63" s="3658"/>
      <c r="E63" s="3658"/>
      <c r="F63" s="3658"/>
      <c r="G63" s="3658"/>
      <c r="H63" s="3658"/>
      <c r="I63" s="3658"/>
      <c r="J63" s="3658"/>
      <c r="K63" s="3658"/>
      <c r="L63" s="3658"/>
      <c r="M63" s="3658"/>
      <c r="N63" s="3658"/>
      <c r="O63" s="3659"/>
      <c r="P63" s="866">
        <f>SUM(P64,P76)</f>
        <v>423635000</v>
      </c>
      <c r="Q63" s="866">
        <f>SUM(Q64,Q68,Q76)</f>
        <v>1200233000</v>
      </c>
      <c r="R63" s="924">
        <f>+P63-Q63</f>
        <v>-776598000</v>
      </c>
      <c r="S63" s="925">
        <f>+R63/Q63</f>
        <v>-0.64703936652300009</v>
      </c>
    </row>
    <row r="64" spans="1:28" s="128" customFormat="1" ht="15" customHeight="1">
      <c r="A64" s="778"/>
      <c r="B64" s="786"/>
      <c r="C64" s="792"/>
      <c r="D64" s="684" t="s">
        <v>376</v>
      </c>
      <c r="E64" s="2229"/>
      <c r="F64" s="635"/>
      <c r="G64" s="636"/>
      <c r="H64" s="635"/>
      <c r="I64" s="635"/>
      <c r="J64" s="635"/>
      <c r="K64" s="635"/>
      <c r="L64" s="635"/>
      <c r="M64" s="635"/>
      <c r="N64" s="637"/>
      <c r="O64" s="636"/>
      <c r="P64" s="638">
        <f>P65</f>
        <v>233000</v>
      </c>
      <c r="Q64" s="638">
        <f>Q65</f>
        <v>233000</v>
      </c>
      <c r="R64" s="639">
        <f>+P64-Q64</f>
        <v>0</v>
      </c>
      <c r="S64" s="640">
        <f>+R64/Q64</f>
        <v>0</v>
      </c>
    </row>
    <row r="65" spans="1:23" ht="15" customHeight="1">
      <c r="A65" s="778"/>
      <c r="B65" s="786"/>
      <c r="C65" s="792"/>
      <c r="D65" s="844"/>
      <c r="E65" s="3637" t="s">
        <v>167</v>
      </c>
      <c r="F65" s="3638"/>
      <c r="G65" s="3638"/>
      <c r="H65" s="3638"/>
      <c r="I65" s="3638"/>
      <c r="J65" s="3638"/>
      <c r="K65" s="3638"/>
      <c r="L65" s="3638"/>
      <c r="M65" s="3638"/>
      <c r="N65" s="3638"/>
      <c r="O65" s="3639"/>
      <c r="P65" s="645">
        <f>O66</f>
        <v>233000</v>
      </c>
      <c r="Q65" s="645">
        <v>233000</v>
      </c>
      <c r="R65" s="646">
        <f>+P65-Q65</f>
        <v>0</v>
      </c>
      <c r="S65" s="647">
        <v>1</v>
      </c>
      <c r="U65" s="1122"/>
      <c r="V65" s="1122"/>
    </row>
    <row r="66" spans="1:23" ht="15" customHeight="1">
      <c r="A66" s="778"/>
      <c r="B66" s="786"/>
      <c r="C66" s="792"/>
      <c r="D66" s="786"/>
      <c r="E66" s="3410"/>
      <c r="F66" s="1035" t="s">
        <v>726</v>
      </c>
      <c r="G66" s="1036"/>
      <c r="H66" s="1035"/>
      <c r="I66" s="1035"/>
      <c r="J66" s="1035"/>
      <c r="K66" s="1035"/>
      <c r="L66" s="1035"/>
      <c r="M66" s="1035"/>
      <c r="N66" s="1037"/>
      <c r="O66" s="1038">
        <f>SUM(O67:O67)</f>
        <v>233000</v>
      </c>
      <c r="P66" s="1039">
        <v>233000</v>
      </c>
      <c r="Q66" s="1039">
        <v>233000</v>
      </c>
      <c r="R66" s="1040">
        <f>+P66-Q66</f>
        <v>0</v>
      </c>
      <c r="S66" s="1041">
        <v>1</v>
      </c>
      <c r="U66" s="72"/>
    </row>
    <row r="67" spans="1:23" ht="15" customHeight="1">
      <c r="A67" s="778"/>
      <c r="B67" s="786"/>
      <c r="C67" s="792"/>
      <c r="D67" s="846"/>
      <c r="E67" s="3412"/>
      <c r="F67" s="847" t="s">
        <v>727</v>
      </c>
      <c r="G67" s="855">
        <v>233000</v>
      </c>
      <c r="H67" s="845" t="s">
        <v>728</v>
      </c>
      <c r="I67" s="1058">
        <v>1</v>
      </c>
      <c r="J67" s="845"/>
      <c r="K67" s="856"/>
      <c r="L67" s="845"/>
      <c r="M67" s="845"/>
      <c r="N67" s="922" t="s">
        <v>729</v>
      </c>
      <c r="O67" s="1059">
        <f>G67*I67</f>
        <v>233000</v>
      </c>
      <c r="P67" s="858"/>
      <c r="Q67" s="858"/>
      <c r="R67" s="924"/>
      <c r="S67" s="925"/>
      <c r="V67" s="1122"/>
    </row>
    <row r="68" spans="1:23" s="128" customFormat="1" ht="15" customHeight="1">
      <c r="A68" s="778"/>
      <c r="B68" s="786"/>
      <c r="C68" s="792"/>
      <c r="D68" s="532" t="s">
        <v>23</v>
      </c>
      <c r="E68" s="2229"/>
      <c r="F68" s="635"/>
      <c r="G68" s="636"/>
      <c r="H68" s="635"/>
      <c r="I68" s="635"/>
      <c r="J68" s="635"/>
      <c r="K68" s="635"/>
      <c r="L68" s="635"/>
      <c r="M68" s="635"/>
      <c r="N68" s="637"/>
      <c r="O68" s="636"/>
      <c r="P68" s="638">
        <f>SUM(P69:P75)</f>
        <v>0</v>
      </c>
      <c r="Q68" s="638">
        <f>SUM(Q69,Q73)</f>
        <v>0</v>
      </c>
      <c r="R68" s="639">
        <f>+P68-Q68</f>
        <v>0</v>
      </c>
      <c r="S68" s="640"/>
    </row>
    <row r="69" spans="1:23" ht="15" customHeight="1">
      <c r="A69" s="778"/>
      <c r="B69" s="786"/>
      <c r="C69" s="792"/>
      <c r="D69" s="844"/>
      <c r="E69" s="3637" t="s">
        <v>309</v>
      </c>
      <c r="F69" s="3638"/>
      <c r="G69" s="3638"/>
      <c r="H69" s="3638"/>
      <c r="I69" s="3638"/>
      <c r="J69" s="3638"/>
      <c r="K69" s="3638"/>
      <c r="L69" s="3638"/>
      <c r="M69" s="3638"/>
      <c r="N69" s="3638"/>
      <c r="O69" s="3639"/>
      <c r="P69" s="645">
        <f>O70</f>
        <v>0</v>
      </c>
      <c r="Q69" s="645">
        <f>+O70</f>
        <v>0</v>
      </c>
      <c r="R69" s="646">
        <f>+P69-Q69</f>
        <v>0</v>
      </c>
      <c r="S69" s="647">
        <v>0</v>
      </c>
      <c r="U69" s="72"/>
    </row>
    <row r="70" spans="1:23" ht="15" hidden="1" customHeight="1">
      <c r="A70" s="778"/>
      <c r="B70" s="786"/>
      <c r="C70" s="792"/>
      <c r="D70" s="1010"/>
      <c r="E70" s="3434"/>
      <c r="F70" s="1060" t="s">
        <v>377</v>
      </c>
      <c r="G70" s="1061"/>
      <c r="H70" s="1062"/>
      <c r="I70" s="1062"/>
      <c r="J70" s="1062"/>
      <c r="K70" s="1062"/>
      <c r="L70" s="1062"/>
      <c r="M70" s="1062"/>
      <c r="N70" s="1063"/>
      <c r="O70" s="1064">
        <f>SUM(O71:O72)</f>
        <v>0</v>
      </c>
      <c r="P70" s="1065"/>
      <c r="Q70" s="887"/>
      <c r="R70" s="1066"/>
      <c r="S70" s="889"/>
    </row>
    <row r="71" spans="1:23" ht="15" hidden="1" customHeight="1">
      <c r="A71" s="778"/>
      <c r="B71" s="786"/>
      <c r="C71" s="792"/>
      <c r="D71" s="792"/>
      <c r="E71" s="3435"/>
      <c r="F71" s="580" t="s">
        <v>378</v>
      </c>
      <c r="G71" s="1067"/>
      <c r="H71" s="991"/>
      <c r="I71" s="1068"/>
      <c r="J71" s="991"/>
      <c r="K71" s="1069"/>
      <c r="L71" s="991"/>
      <c r="M71" s="991"/>
      <c r="N71" s="1070"/>
      <c r="O71" s="1071"/>
      <c r="P71" s="1072"/>
      <c r="Q71" s="858"/>
      <c r="R71" s="1073"/>
      <c r="S71" s="891"/>
    </row>
    <row r="72" spans="1:23" ht="15" hidden="1" customHeight="1">
      <c r="A72" s="778"/>
      <c r="B72" s="786"/>
      <c r="C72" s="792"/>
      <c r="D72" s="786"/>
      <c r="E72" s="3436"/>
      <c r="F72" s="1074" t="s">
        <v>379</v>
      </c>
      <c r="G72" s="1075"/>
      <c r="H72" s="1076"/>
      <c r="I72" s="1077"/>
      <c r="J72" s="1076"/>
      <c r="K72" s="1078"/>
      <c r="L72" s="1076"/>
      <c r="M72" s="1076"/>
      <c r="N72" s="1079"/>
      <c r="O72" s="1080"/>
      <c r="P72" s="1081"/>
      <c r="Q72" s="866"/>
      <c r="R72" s="1082"/>
      <c r="S72" s="925"/>
    </row>
    <row r="73" spans="1:23" ht="15" customHeight="1">
      <c r="A73" s="778"/>
      <c r="B73" s="786"/>
      <c r="C73" s="792"/>
      <c r="D73" s="786"/>
      <c r="E73" s="3637" t="s">
        <v>2860</v>
      </c>
      <c r="F73" s="3638"/>
      <c r="G73" s="3638"/>
      <c r="H73" s="3638"/>
      <c r="I73" s="3638"/>
      <c r="J73" s="3638"/>
      <c r="K73" s="3638"/>
      <c r="L73" s="3638"/>
      <c r="M73" s="3638"/>
      <c r="N73" s="3638"/>
      <c r="O73" s="3639"/>
      <c r="P73" s="645">
        <f>O74</f>
        <v>0</v>
      </c>
      <c r="Q73" s="645">
        <f>+O74</f>
        <v>0</v>
      </c>
      <c r="R73" s="646">
        <f>+P73-Q73</f>
        <v>0</v>
      </c>
      <c r="S73" s="647">
        <v>0</v>
      </c>
    </row>
    <row r="74" spans="1:23" ht="15" hidden="1" customHeight="1">
      <c r="A74" s="778"/>
      <c r="B74" s="786"/>
      <c r="C74" s="792"/>
      <c r="D74" s="786"/>
      <c r="E74" s="3434"/>
      <c r="F74" s="575" t="s">
        <v>380</v>
      </c>
      <c r="G74" s="1061"/>
      <c r="H74" s="1062"/>
      <c r="I74" s="1062"/>
      <c r="J74" s="1062"/>
      <c r="K74" s="1062"/>
      <c r="L74" s="1062"/>
      <c r="M74" s="1062"/>
      <c r="N74" s="1063"/>
      <c r="O74" s="1083">
        <f>+O75</f>
        <v>0</v>
      </c>
      <c r="P74" s="887"/>
      <c r="Q74" s="887"/>
      <c r="R74" s="888"/>
      <c r="S74" s="889"/>
    </row>
    <row r="75" spans="1:23" ht="15" hidden="1" customHeight="1">
      <c r="A75" s="778"/>
      <c r="B75" s="786"/>
      <c r="C75" s="897"/>
      <c r="D75" s="846"/>
      <c r="E75" s="3428"/>
      <c r="F75" s="580" t="s">
        <v>381</v>
      </c>
      <c r="G75" s="1075"/>
      <c r="H75" s="1076"/>
      <c r="I75" s="1077"/>
      <c r="J75" s="1076"/>
      <c r="K75" s="1078"/>
      <c r="L75" s="1076"/>
      <c r="M75" s="1076"/>
      <c r="N75" s="1079"/>
      <c r="O75" s="1084"/>
      <c r="P75" s="866"/>
      <c r="Q75" s="866"/>
      <c r="R75" s="924"/>
      <c r="S75" s="925"/>
    </row>
    <row r="76" spans="1:23" s="128" customFormat="1" ht="15" customHeight="1">
      <c r="A76" s="778"/>
      <c r="B76" s="786"/>
      <c r="C76" s="792"/>
      <c r="D76" s="684" t="s">
        <v>278</v>
      </c>
      <c r="E76" s="2229"/>
      <c r="F76" s="635"/>
      <c r="G76" s="636"/>
      <c r="H76" s="635"/>
      <c r="I76" s="635"/>
      <c r="J76" s="635"/>
      <c r="K76" s="635"/>
      <c r="L76" s="635"/>
      <c r="M76" s="635"/>
      <c r="N76" s="637"/>
      <c r="O76" s="636"/>
      <c r="P76" s="638">
        <f>P77</f>
        <v>423402000</v>
      </c>
      <c r="Q76" s="638">
        <f>Q77</f>
        <v>1200000000</v>
      </c>
      <c r="R76" s="639">
        <f>+P76-Q76</f>
        <v>-776598000</v>
      </c>
      <c r="S76" s="640">
        <f>+R76/Q76</f>
        <v>-0.64716499999999999</v>
      </c>
      <c r="U76" s="1161"/>
    </row>
    <row r="77" spans="1:23" ht="15" customHeight="1">
      <c r="A77" s="778"/>
      <c r="B77" s="786"/>
      <c r="C77" s="792"/>
      <c r="D77" s="844"/>
      <c r="E77" s="3637" t="s">
        <v>279</v>
      </c>
      <c r="F77" s="3638"/>
      <c r="G77" s="3638"/>
      <c r="H77" s="3638"/>
      <c r="I77" s="3638"/>
      <c r="J77" s="3638"/>
      <c r="K77" s="3638"/>
      <c r="L77" s="3638"/>
      <c r="M77" s="3638"/>
      <c r="N77" s="3638"/>
      <c r="O77" s="3639"/>
      <c r="P77" s="645">
        <f>O78</f>
        <v>423402000</v>
      </c>
      <c r="Q77" s="645">
        <v>1200000000</v>
      </c>
      <c r="R77" s="646">
        <f>+P77-Q77</f>
        <v>-776598000</v>
      </c>
      <c r="S77" s="647">
        <f t="shared" ref="S77" si="13">+R77/Q77</f>
        <v>-0.64716499999999999</v>
      </c>
    </row>
    <row r="78" spans="1:23" ht="15" customHeight="1">
      <c r="A78" s="778"/>
      <c r="B78" s="786"/>
      <c r="C78" s="792"/>
      <c r="D78" s="786"/>
      <c r="E78" s="3413"/>
      <c r="F78" s="1085" t="s">
        <v>280</v>
      </c>
      <c r="G78" s="1086"/>
      <c r="H78" s="1085"/>
      <c r="I78" s="1085"/>
      <c r="J78" s="1085"/>
      <c r="K78" s="1085"/>
      <c r="L78" s="1085"/>
      <c r="M78" s="1085"/>
      <c r="N78" s="1087"/>
      <c r="O78" s="1088">
        <f>SUM(O79:O80)</f>
        <v>423402000</v>
      </c>
      <c r="P78" s="653">
        <f>O78</f>
        <v>423402000</v>
      </c>
      <c r="Q78" s="1089">
        <v>1200000000</v>
      </c>
      <c r="R78" s="1090">
        <f>+P78-Q78</f>
        <v>-776598000</v>
      </c>
      <c r="S78" s="1091">
        <f t="shared" ref="S78" si="14">+R78/Q78</f>
        <v>-0.64716499999999999</v>
      </c>
      <c r="U78" s="1122"/>
    </row>
    <row r="79" spans="1:23" ht="15" customHeight="1" thickBot="1">
      <c r="A79" s="1130"/>
      <c r="B79" s="846"/>
      <c r="C79" s="780"/>
      <c r="D79" s="846"/>
      <c r="E79" s="3437"/>
      <c r="F79" s="863" t="s">
        <v>733</v>
      </c>
      <c r="G79" s="864">
        <v>423402000</v>
      </c>
      <c r="H79" s="863" t="s">
        <v>21</v>
      </c>
      <c r="I79" s="920">
        <v>1</v>
      </c>
      <c r="J79" s="863"/>
      <c r="K79" s="863"/>
      <c r="L79" s="863"/>
      <c r="M79" s="863"/>
      <c r="N79" s="865" t="s">
        <v>22</v>
      </c>
      <c r="O79" s="2993">
        <f>G79*I79</f>
        <v>423402000</v>
      </c>
      <c r="P79" s="866"/>
      <c r="Q79" s="866"/>
      <c r="R79" s="924"/>
      <c r="S79" s="925"/>
      <c r="U79" s="67"/>
      <c r="W79" s="72"/>
    </row>
    <row r="80" spans="1:23" s="930" customFormat="1" ht="15" customHeight="1">
      <c r="A80" s="617"/>
      <c r="B80" s="3690" t="s">
        <v>281</v>
      </c>
      <c r="C80" s="3691"/>
      <c r="D80" s="3691"/>
      <c r="E80" s="3691"/>
      <c r="F80" s="3691"/>
      <c r="G80" s="3691"/>
      <c r="H80" s="3691"/>
      <c r="I80" s="3691"/>
      <c r="J80" s="3691"/>
      <c r="K80" s="3691"/>
      <c r="L80" s="3691"/>
      <c r="M80" s="3691"/>
      <c r="N80" s="3691"/>
      <c r="O80" s="3692"/>
      <c r="P80" s="946">
        <f>P81</f>
        <v>24300000</v>
      </c>
      <c r="Q80" s="946">
        <f>Q81</f>
        <v>0</v>
      </c>
      <c r="R80" s="942">
        <f>+P80-Q80</f>
        <v>24300000</v>
      </c>
      <c r="S80" s="943"/>
    </row>
    <row r="81" spans="1:19" s="932" customFormat="1" ht="15" customHeight="1">
      <c r="A81" s="617"/>
      <c r="B81" s="632"/>
      <c r="C81" s="3657" t="s">
        <v>175</v>
      </c>
      <c r="D81" s="3658"/>
      <c r="E81" s="3658"/>
      <c r="F81" s="3658"/>
      <c r="G81" s="3658"/>
      <c r="H81" s="3658"/>
      <c r="I81" s="3658"/>
      <c r="J81" s="3658"/>
      <c r="K81" s="3658"/>
      <c r="L81" s="3658"/>
      <c r="M81" s="3658"/>
      <c r="N81" s="3658"/>
      <c r="O81" s="3659"/>
      <c r="P81" s="946">
        <f>P82</f>
        <v>24300000</v>
      </c>
      <c r="Q81" s="946">
        <f>SUM(Q82)</f>
        <v>0</v>
      </c>
      <c r="R81" s="942">
        <f>+P81-Q81</f>
        <v>24300000</v>
      </c>
      <c r="S81" s="943"/>
    </row>
    <row r="82" spans="1:19" s="932" customFormat="1" ht="15" customHeight="1">
      <c r="A82" s="617"/>
      <c r="B82" s="632"/>
      <c r="C82" s="719"/>
      <c r="D82" s="684" t="s">
        <v>176</v>
      </c>
      <c r="E82" s="2229"/>
      <c r="F82" s="635"/>
      <c r="G82" s="636"/>
      <c r="H82" s="635"/>
      <c r="I82" s="635"/>
      <c r="J82" s="635"/>
      <c r="K82" s="635"/>
      <c r="L82" s="635"/>
      <c r="M82" s="635"/>
      <c r="N82" s="637"/>
      <c r="O82" s="635"/>
      <c r="P82" s="638">
        <f>P83</f>
        <v>24300000</v>
      </c>
      <c r="Q82" s="638">
        <f>SUM(Q84)</f>
        <v>0</v>
      </c>
      <c r="R82" s="793">
        <f>+P82-Q82</f>
        <v>24300000</v>
      </c>
      <c r="S82" s="794"/>
    </row>
    <row r="83" spans="1:19" s="932" customFormat="1" ht="15" customHeight="1">
      <c r="A83" s="617"/>
      <c r="B83" s="632"/>
      <c r="C83" s="719"/>
      <c r="D83" s="626"/>
      <c r="E83" s="3637" t="s">
        <v>177</v>
      </c>
      <c r="F83" s="3638"/>
      <c r="G83" s="3638"/>
      <c r="H83" s="3638"/>
      <c r="I83" s="3638"/>
      <c r="J83" s="3638"/>
      <c r="K83" s="3638"/>
      <c r="L83" s="3638"/>
      <c r="M83" s="3638"/>
      <c r="N83" s="3638"/>
      <c r="O83" s="3639"/>
      <c r="P83" s="645">
        <f>O84</f>
        <v>24300000</v>
      </c>
      <c r="Q83" s="645">
        <v>0</v>
      </c>
      <c r="R83" s="646">
        <f>+P83-Q83</f>
        <v>24300000</v>
      </c>
      <c r="S83" s="798"/>
    </row>
    <row r="84" spans="1:19" s="2971" customFormat="1" ht="15" customHeight="1">
      <c r="A84" s="1092"/>
      <c r="B84" s="1093"/>
      <c r="C84" s="1094"/>
      <c r="D84" s="1093"/>
      <c r="E84" s="3438"/>
      <c r="F84" s="799" t="s">
        <v>898</v>
      </c>
      <c r="G84" s="1097"/>
      <c r="H84" s="1097"/>
      <c r="I84" s="1097"/>
      <c r="J84" s="1097"/>
      <c r="K84" s="799"/>
      <c r="L84" s="799"/>
      <c r="M84" s="799"/>
      <c r="N84" s="799"/>
      <c r="O84" s="1098">
        <f>O85</f>
        <v>24300000</v>
      </c>
      <c r="P84" s="653">
        <f>O84</f>
        <v>24300000</v>
      </c>
      <c r="Q84" s="803">
        <v>0</v>
      </c>
      <c r="R84" s="804">
        <f>+P84-Q84</f>
        <v>24300000</v>
      </c>
      <c r="S84" s="995"/>
    </row>
    <row r="85" spans="1:19" s="2971" customFormat="1" ht="15" customHeight="1" thickBot="1">
      <c r="A85" s="1099"/>
      <c r="B85" s="1100"/>
      <c r="C85" s="1101"/>
      <c r="D85" s="1100"/>
      <c r="E85" s="3439"/>
      <c r="F85" s="1101" t="s">
        <v>899</v>
      </c>
      <c r="G85" s="1102">
        <v>24300000</v>
      </c>
      <c r="H85" s="1101" t="s">
        <v>51</v>
      </c>
      <c r="I85" s="1103">
        <v>1</v>
      </c>
      <c r="J85" s="1101"/>
      <c r="K85" s="1104"/>
      <c r="L85" s="1101"/>
      <c r="M85" s="1105"/>
      <c r="N85" s="1106" t="s">
        <v>900</v>
      </c>
      <c r="O85" s="1107">
        <f>G85*I85</f>
        <v>24300000</v>
      </c>
      <c r="P85" s="1108"/>
      <c r="Q85" s="1109"/>
      <c r="R85" s="1110"/>
      <c r="S85" s="1111"/>
    </row>
    <row r="86" spans="1:19" s="2970" customFormat="1" ht="15" customHeight="1">
      <c r="B86" s="2972"/>
      <c r="C86" s="2972"/>
      <c r="D86" s="2972"/>
      <c r="E86" s="3440"/>
      <c r="G86" s="2973"/>
      <c r="N86" s="2974"/>
      <c r="O86" s="2973"/>
      <c r="P86" s="775"/>
      <c r="Q86" s="2975"/>
      <c r="R86" s="2976"/>
      <c r="S86" s="2977"/>
    </row>
    <row r="87" spans="1:19" ht="15" customHeight="1"/>
    <row r="88" spans="1:19" ht="15" customHeight="1"/>
    <row r="89" spans="1:19" ht="15" customHeight="1"/>
    <row r="90" spans="1:19" ht="15" customHeight="1"/>
    <row r="91" spans="1:19" ht="15" customHeight="1"/>
    <row r="92" spans="1:19" ht="15" customHeight="1"/>
    <row r="93" spans="1:19" ht="15" customHeight="1"/>
    <row r="94" spans="1:19" ht="15" customHeight="1"/>
    <row r="95" spans="1:19" ht="15" customHeight="1"/>
    <row r="96" spans="1:19" ht="15" customHeight="1"/>
    <row r="97" ht="15" customHeight="1"/>
    <row r="98" ht="15" customHeight="1"/>
    <row r="99" ht="15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</sheetData>
  <mergeCells count="22">
    <mergeCell ref="A1:S1"/>
    <mergeCell ref="R2:S2"/>
    <mergeCell ref="A3:E3"/>
    <mergeCell ref="G3:O4"/>
    <mergeCell ref="P3:P4"/>
    <mergeCell ref="Q3:Q4"/>
    <mergeCell ref="R3:R4"/>
    <mergeCell ref="S3:S4"/>
    <mergeCell ref="E83:O83"/>
    <mergeCell ref="C81:O81"/>
    <mergeCell ref="E9:O9"/>
    <mergeCell ref="E47:O47"/>
    <mergeCell ref="E53:O53"/>
    <mergeCell ref="E60:O60"/>
    <mergeCell ref="E65:O65"/>
    <mergeCell ref="C63:O63"/>
    <mergeCell ref="C7:O7"/>
    <mergeCell ref="B6:O6"/>
    <mergeCell ref="B80:O80"/>
    <mergeCell ref="E69:O69"/>
    <mergeCell ref="E73:O73"/>
    <mergeCell ref="E77:O7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landscape" r:id="rId1"/>
  <headerFooter scaleWithDoc="0">
    <oddFooter>&amp;C&amp;P</oddFooter>
  </headerFooter>
  <colBreaks count="1" manualBreakCount="1">
    <brk id="16" max="83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99FF"/>
    <pageSetUpPr fitToPage="1"/>
  </sheetPr>
  <dimension ref="A1:W162"/>
  <sheetViews>
    <sheetView view="pageBreakPreview" topLeftCell="A58" zoomScale="85" zoomScaleNormal="85" zoomScaleSheetLayoutView="85" workbookViewId="0">
      <selection activeCell="C91" sqref="C91:O91"/>
    </sheetView>
  </sheetViews>
  <sheetFormatPr defaultColWidth="9" defaultRowHeight="16.5"/>
  <cols>
    <col min="1" max="1" width="3.625" style="128" customWidth="1"/>
    <col min="2" max="4" width="3.625" style="839" customWidth="1"/>
    <col min="5" max="5" width="11.25" style="897" customWidth="1"/>
    <col min="6" max="6" width="25.125" style="128" customWidth="1"/>
    <col min="7" max="7" width="15" style="840" bestFit="1" customWidth="1"/>
    <col min="8" max="8" width="2.125" style="128" customWidth="1"/>
    <col min="9" max="9" width="8.25" style="128" bestFit="1" customWidth="1"/>
    <col min="10" max="10" width="2.125" style="128" customWidth="1"/>
    <col min="11" max="11" width="7" style="128" bestFit="1" customWidth="1"/>
    <col min="12" max="12" width="2.75" style="128" customWidth="1"/>
    <col min="13" max="13" width="4.875" style="128" bestFit="1" customWidth="1"/>
    <col min="14" max="14" width="2.625" style="841" customWidth="1"/>
    <col min="15" max="15" width="12.625" style="128" customWidth="1"/>
    <col min="16" max="16" width="10.625" style="842" customWidth="1"/>
    <col min="17" max="17" width="10.625" style="843" customWidth="1"/>
    <col min="18" max="18" width="10.625" style="1174" customWidth="1"/>
    <col min="19" max="19" width="10.625" style="1175" customWidth="1"/>
    <col min="20" max="20" width="9" style="128"/>
    <col min="21" max="21" width="10.125" style="128" customWidth="1"/>
    <col min="22" max="22" width="12.125" style="128" customWidth="1"/>
    <col min="23" max="23" width="9.25" style="128" bestFit="1" customWidth="1"/>
    <col min="24" max="16384" width="9" style="128"/>
  </cols>
  <sheetData>
    <row r="1" spans="1:23" ht="35.1" customHeight="1">
      <c r="A1" s="3679" t="s">
        <v>2090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</row>
    <row r="2" spans="1:23" ht="15" customHeight="1" thickBot="1">
      <c r="A2" s="128" t="s">
        <v>395</v>
      </c>
      <c r="E2" s="792"/>
      <c r="R2" s="3680" t="s">
        <v>396</v>
      </c>
      <c r="S2" s="3680"/>
    </row>
    <row r="3" spans="1:23" s="841" customFormat="1" ht="14.25" customHeight="1">
      <c r="A3" s="3693" t="s">
        <v>397</v>
      </c>
      <c r="B3" s="3694"/>
      <c r="C3" s="3694"/>
      <c r="D3" s="3694"/>
      <c r="E3" s="3694"/>
      <c r="F3" s="3713"/>
      <c r="G3" s="3695" t="s">
        <v>398</v>
      </c>
      <c r="H3" s="3695"/>
      <c r="I3" s="3695"/>
      <c r="J3" s="3695"/>
      <c r="K3" s="3695"/>
      <c r="L3" s="3695"/>
      <c r="M3" s="3695"/>
      <c r="N3" s="3695"/>
      <c r="O3" s="3696"/>
      <c r="P3" s="3699" t="s">
        <v>4</v>
      </c>
      <c r="Q3" s="3701" t="s">
        <v>326</v>
      </c>
      <c r="R3" s="3703" t="s">
        <v>5</v>
      </c>
      <c r="S3" s="3705" t="s">
        <v>6</v>
      </c>
    </row>
    <row r="4" spans="1:23" s="841" customFormat="1" ht="14.25" customHeight="1" thickBot="1">
      <c r="A4" s="983" t="s">
        <v>399</v>
      </c>
      <c r="B4" s="984" t="s">
        <v>400</v>
      </c>
      <c r="C4" s="984" t="s">
        <v>401</v>
      </c>
      <c r="D4" s="984" t="s">
        <v>402</v>
      </c>
      <c r="E4" s="984" t="s">
        <v>403</v>
      </c>
      <c r="F4" s="985" t="s">
        <v>404</v>
      </c>
      <c r="G4" s="3697"/>
      <c r="H4" s="3697"/>
      <c r="I4" s="3697"/>
      <c r="J4" s="3697"/>
      <c r="K4" s="3697"/>
      <c r="L4" s="3697"/>
      <c r="M4" s="3697"/>
      <c r="N4" s="3697"/>
      <c r="O4" s="3698"/>
      <c r="P4" s="3700"/>
      <c r="Q4" s="3702"/>
      <c r="R4" s="3704"/>
      <c r="S4" s="3706"/>
    </row>
    <row r="5" spans="1:23" ht="14.25" customHeight="1">
      <c r="A5" s="1112" t="s">
        <v>405</v>
      </c>
      <c r="B5" s="1113"/>
      <c r="C5" s="1114"/>
      <c r="D5" s="1114"/>
      <c r="E5" s="1114"/>
      <c r="F5" s="1114"/>
      <c r="G5" s="1115"/>
      <c r="H5" s="1114"/>
      <c r="I5" s="1114"/>
      <c r="J5" s="1114"/>
      <c r="K5" s="1114"/>
      <c r="L5" s="1114"/>
      <c r="M5" s="1114"/>
      <c r="N5" s="1116"/>
      <c r="O5" s="1114"/>
      <c r="P5" s="1117">
        <f>P6+P90</f>
        <v>1749582000</v>
      </c>
      <c r="Q5" s="1117">
        <f>Q6+Q90</f>
        <v>1947236000</v>
      </c>
      <c r="R5" s="1118">
        <f>P5-Q5</f>
        <v>-197654000</v>
      </c>
      <c r="S5" s="1119">
        <f t="shared" ref="S5:S10" si="0">+R5/Q5</f>
        <v>-0.10150490233335867</v>
      </c>
    </row>
    <row r="6" spans="1:23" ht="14.25" customHeight="1">
      <c r="A6" s="778"/>
      <c r="B6" s="3707" t="s">
        <v>406</v>
      </c>
      <c r="C6" s="3708"/>
      <c r="D6" s="3708"/>
      <c r="E6" s="3708"/>
      <c r="F6" s="3708"/>
      <c r="G6" s="3708"/>
      <c r="H6" s="3708"/>
      <c r="I6" s="3708"/>
      <c r="J6" s="3708"/>
      <c r="K6" s="3708"/>
      <c r="L6" s="3708"/>
      <c r="M6" s="3708"/>
      <c r="N6" s="3708"/>
      <c r="O6" s="3709"/>
      <c r="P6" s="872">
        <f>SUM(P7,P76)</f>
        <v>1723432000</v>
      </c>
      <c r="Q6" s="872">
        <f>SUM(Q7,Q76)</f>
        <v>1947236000</v>
      </c>
      <c r="R6" s="867">
        <f>+P6-Q6</f>
        <v>-223804000</v>
      </c>
      <c r="S6" s="868">
        <f t="shared" si="0"/>
        <v>-0.11493419390356382</v>
      </c>
      <c r="U6" s="128">
        <v>1752022000</v>
      </c>
      <c r="V6" s="1120">
        <v>1947236000</v>
      </c>
      <c r="W6" s="1120"/>
    </row>
    <row r="7" spans="1:23" ht="14.25" customHeight="1">
      <c r="A7" s="778"/>
      <c r="B7" s="844"/>
      <c r="C7" s="3707" t="s">
        <v>407</v>
      </c>
      <c r="D7" s="3708"/>
      <c r="E7" s="3708"/>
      <c r="F7" s="3708"/>
      <c r="G7" s="3708"/>
      <c r="H7" s="3708"/>
      <c r="I7" s="3708"/>
      <c r="J7" s="3708"/>
      <c r="K7" s="3708"/>
      <c r="L7" s="3708"/>
      <c r="M7" s="3708"/>
      <c r="N7" s="3708"/>
      <c r="O7" s="3709"/>
      <c r="P7" s="872">
        <f>P8+P63+P68</f>
        <v>741828000</v>
      </c>
      <c r="Q7" s="872">
        <f>Q8+Q63+Q68</f>
        <v>832842000</v>
      </c>
      <c r="R7" s="867">
        <f>+P7-Q7</f>
        <v>-91014000</v>
      </c>
      <c r="S7" s="868">
        <f t="shared" si="0"/>
        <v>-0.10928123221451368</v>
      </c>
      <c r="U7" s="1120">
        <f>P5-U6</f>
        <v>-2440000</v>
      </c>
      <c r="V7" s="1120">
        <f>Q5-V6</f>
        <v>0</v>
      </c>
    </row>
    <row r="8" spans="1:23" ht="14.25" customHeight="1">
      <c r="A8" s="778"/>
      <c r="B8" s="786"/>
      <c r="C8" s="844"/>
      <c r="D8" s="3710" t="s">
        <v>408</v>
      </c>
      <c r="E8" s="3711"/>
      <c r="F8" s="635"/>
      <c r="G8" s="636"/>
      <c r="H8" s="635"/>
      <c r="I8" s="635"/>
      <c r="J8" s="635"/>
      <c r="K8" s="635"/>
      <c r="L8" s="635"/>
      <c r="M8" s="635"/>
      <c r="N8" s="637"/>
      <c r="O8" s="635"/>
      <c r="P8" s="638">
        <f>SUM(P9+P45)</f>
        <v>650000000</v>
      </c>
      <c r="Q8" s="638">
        <f>SUM(Q9+Q45)</f>
        <v>736180000</v>
      </c>
      <c r="R8" s="793">
        <f>+P8-Q8</f>
        <v>-86180000</v>
      </c>
      <c r="S8" s="873">
        <f t="shared" si="0"/>
        <v>-0.11706376158004836</v>
      </c>
    </row>
    <row r="9" spans="1:23" ht="14.25" customHeight="1">
      <c r="A9" s="778"/>
      <c r="B9" s="786"/>
      <c r="C9" s="786"/>
      <c r="D9" s="844"/>
      <c r="E9" s="3637" t="s">
        <v>152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645">
        <f>ROUNDUP((O10),-3)</f>
        <v>430240000</v>
      </c>
      <c r="Q9" s="645">
        <v>455740000</v>
      </c>
      <c r="R9" s="646">
        <f>+P9-Q9</f>
        <v>-25500000</v>
      </c>
      <c r="S9" s="647">
        <f t="shared" si="0"/>
        <v>-5.5952955632597536E-2</v>
      </c>
      <c r="V9" s="128" t="s">
        <v>2290</v>
      </c>
      <c r="W9" s="1120">
        <f>P7</f>
        <v>741828000</v>
      </c>
    </row>
    <row r="10" spans="1:23" ht="14.25" customHeight="1">
      <c r="A10" s="778"/>
      <c r="B10" s="786"/>
      <c r="C10" s="786"/>
      <c r="D10" s="786"/>
      <c r="E10" s="3377"/>
      <c r="F10" s="679" t="s">
        <v>935</v>
      </c>
      <c r="G10" s="686"/>
      <c r="H10" s="679"/>
      <c r="I10" s="679"/>
      <c r="J10" s="679"/>
      <c r="K10" s="679"/>
      <c r="L10" s="679"/>
      <c r="M10" s="679"/>
      <c r="N10" s="687"/>
      <c r="O10" s="681">
        <f>SUM(O11:O44)</f>
        <v>430240000</v>
      </c>
      <c r="P10" s="653">
        <f>O10</f>
        <v>430240000</v>
      </c>
      <c r="Q10" s="653">
        <v>455740000</v>
      </c>
      <c r="R10" s="654">
        <f>+P10-Q10</f>
        <v>-25500000</v>
      </c>
      <c r="S10" s="688">
        <f t="shared" si="0"/>
        <v>-5.5952955632597536E-2</v>
      </c>
      <c r="V10" s="128" t="s">
        <v>2291</v>
      </c>
      <c r="W10" s="1120">
        <f>P77</f>
        <v>500000</v>
      </c>
    </row>
    <row r="11" spans="1:23" ht="14.25" customHeight="1">
      <c r="A11" s="778"/>
      <c r="B11" s="786"/>
      <c r="C11" s="786"/>
      <c r="D11" s="786"/>
      <c r="E11" s="3368"/>
      <c r="F11" s="697" t="s">
        <v>1570</v>
      </c>
      <c r="G11" s="880">
        <v>700000</v>
      </c>
      <c r="H11" s="691" t="s">
        <v>21</v>
      </c>
      <c r="I11" s="881">
        <v>12</v>
      </c>
      <c r="J11" s="691"/>
      <c r="K11" s="881"/>
      <c r="L11" s="691"/>
      <c r="M11" s="881"/>
      <c r="N11" s="701" t="s">
        <v>22</v>
      </c>
      <c r="O11" s="882">
        <f t="shared" ref="O11:O32" si="1">G11*I11</f>
        <v>8400000</v>
      </c>
      <c r="P11" s="694"/>
      <c r="Q11" s="694"/>
      <c r="R11" s="695"/>
      <c r="S11" s="696"/>
      <c r="U11" s="128">
        <v>1749582000</v>
      </c>
      <c r="V11" s="128" t="s">
        <v>2292</v>
      </c>
      <c r="W11" s="1120">
        <f>P82</f>
        <v>931104000</v>
      </c>
    </row>
    <row r="12" spans="1:23" ht="14.25" customHeight="1">
      <c r="A12" s="778"/>
      <c r="B12" s="786"/>
      <c r="C12" s="786"/>
      <c r="D12" s="786"/>
      <c r="E12" s="3368"/>
      <c r="F12" s="697" t="s">
        <v>1571</v>
      </c>
      <c r="G12" s="880">
        <v>200000</v>
      </c>
      <c r="H12" s="691" t="s">
        <v>21</v>
      </c>
      <c r="I12" s="881">
        <v>12</v>
      </c>
      <c r="J12" s="691"/>
      <c r="K12" s="881"/>
      <c r="L12" s="691"/>
      <c r="M12" s="691"/>
      <c r="N12" s="701" t="s">
        <v>22</v>
      </c>
      <c r="O12" s="882">
        <f t="shared" si="1"/>
        <v>2400000</v>
      </c>
      <c r="P12" s="694"/>
      <c r="Q12" s="694"/>
      <c r="R12" s="695"/>
      <c r="S12" s="696"/>
      <c r="V12" s="128" t="s">
        <v>2293</v>
      </c>
      <c r="W12" s="1120">
        <f>P86</f>
        <v>50000000</v>
      </c>
    </row>
    <row r="13" spans="1:23" ht="14.25" customHeight="1">
      <c r="A13" s="778"/>
      <c r="B13" s="786"/>
      <c r="C13" s="786"/>
      <c r="D13" s="786"/>
      <c r="E13" s="3368"/>
      <c r="F13" s="697" t="s">
        <v>1572</v>
      </c>
      <c r="G13" s="880">
        <v>240000</v>
      </c>
      <c r="H13" s="691" t="s">
        <v>21</v>
      </c>
      <c r="I13" s="881">
        <v>12</v>
      </c>
      <c r="J13" s="691"/>
      <c r="K13" s="881"/>
      <c r="L13" s="691"/>
      <c r="M13" s="691"/>
      <c r="N13" s="701" t="s">
        <v>22</v>
      </c>
      <c r="O13" s="882">
        <f t="shared" si="1"/>
        <v>2880000</v>
      </c>
      <c r="P13" s="694"/>
      <c r="Q13" s="694"/>
      <c r="R13" s="695"/>
      <c r="S13" s="696"/>
      <c r="V13" s="128" t="s">
        <v>2294</v>
      </c>
      <c r="W13" s="1120">
        <f>P93</f>
        <v>26150000</v>
      </c>
    </row>
    <row r="14" spans="1:23" ht="14.25" customHeight="1">
      <c r="A14" s="778"/>
      <c r="B14" s="786"/>
      <c r="C14" s="786"/>
      <c r="D14" s="786"/>
      <c r="E14" s="3368"/>
      <c r="F14" s="697" t="s">
        <v>1573</v>
      </c>
      <c r="G14" s="880">
        <v>200000</v>
      </c>
      <c r="H14" s="691" t="s">
        <v>21</v>
      </c>
      <c r="I14" s="881">
        <v>12</v>
      </c>
      <c r="J14" s="691"/>
      <c r="K14" s="881"/>
      <c r="L14" s="691"/>
      <c r="M14" s="691"/>
      <c r="N14" s="701" t="s">
        <v>22</v>
      </c>
      <c r="O14" s="882">
        <f t="shared" si="1"/>
        <v>2400000</v>
      </c>
      <c r="P14" s="694"/>
      <c r="Q14" s="694"/>
      <c r="R14" s="695"/>
      <c r="S14" s="696"/>
      <c r="W14" s="1120"/>
    </row>
    <row r="15" spans="1:23" ht="14.25" customHeight="1">
      <c r="A15" s="778"/>
      <c r="B15" s="786"/>
      <c r="C15" s="786"/>
      <c r="D15" s="786"/>
      <c r="E15" s="3368"/>
      <c r="F15" s="697" t="s">
        <v>1574</v>
      </c>
      <c r="G15" s="880">
        <v>200000</v>
      </c>
      <c r="H15" s="691" t="s">
        <v>21</v>
      </c>
      <c r="I15" s="881">
        <v>12</v>
      </c>
      <c r="J15" s="691"/>
      <c r="K15" s="881"/>
      <c r="L15" s="691"/>
      <c r="M15" s="691"/>
      <c r="N15" s="701" t="s">
        <v>22</v>
      </c>
      <c r="O15" s="882">
        <f t="shared" si="1"/>
        <v>2400000</v>
      </c>
      <c r="P15" s="694"/>
      <c r="Q15" s="694"/>
      <c r="R15" s="695"/>
      <c r="S15" s="696"/>
      <c r="U15" s="1120">
        <f>P5-U11</f>
        <v>0</v>
      </c>
      <c r="W15" s="1120"/>
    </row>
    <row r="16" spans="1:23" ht="14.25" customHeight="1">
      <c r="A16" s="778"/>
      <c r="B16" s="786"/>
      <c r="C16" s="786"/>
      <c r="D16" s="786"/>
      <c r="E16" s="3368"/>
      <c r="F16" s="697" t="s">
        <v>1575</v>
      </c>
      <c r="G16" s="880">
        <v>500000</v>
      </c>
      <c r="H16" s="691" t="s">
        <v>21</v>
      </c>
      <c r="I16" s="881">
        <v>12</v>
      </c>
      <c r="J16" s="691"/>
      <c r="K16" s="881"/>
      <c r="L16" s="691"/>
      <c r="M16" s="691"/>
      <c r="N16" s="701" t="s">
        <v>22</v>
      </c>
      <c r="O16" s="882">
        <f t="shared" si="1"/>
        <v>6000000</v>
      </c>
      <c r="P16" s="694"/>
      <c r="Q16" s="694"/>
      <c r="R16" s="695"/>
      <c r="S16" s="696"/>
    </row>
    <row r="17" spans="1:21" ht="14.25" customHeight="1">
      <c r="A17" s="778"/>
      <c r="B17" s="786"/>
      <c r="C17" s="786"/>
      <c r="D17" s="786"/>
      <c r="E17" s="3368"/>
      <c r="F17" s="697" t="s">
        <v>1576</v>
      </c>
      <c r="G17" s="880">
        <v>500000</v>
      </c>
      <c r="H17" s="691" t="s">
        <v>21</v>
      </c>
      <c r="I17" s="881">
        <v>12</v>
      </c>
      <c r="J17" s="691"/>
      <c r="K17" s="881"/>
      <c r="L17" s="691"/>
      <c r="M17" s="691"/>
      <c r="N17" s="701" t="s">
        <v>22</v>
      </c>
      <c r="O17" s="882">
        <f t="shared" si="1"/>
        <v>6000000</v>
      </c>
      <c r="P17" s="694"/>
      <c r="Q17" s="694"/>
      <c r="R17" s="695"/>
      <c r="S17" s="696"/>
    </row>
    <row r="18" spans="1:21" ht="14.25" customHeight="1">
      <c r="A18" s="778"/>
      <c r="B18" s="786"/>
      <c r="C18" s="786"/>
      <c r="D18" s="786"/>
      <c r="E18" s="3368"/>
      <c r="F18" s="697" t="s">
        <v>1577</v>
      </c>
      <c r="G18" s="880">
        <v>650000</v>
      </c>
      <c r="H18" s="691" t="s">
        <v>21</v>
      </c>
      <c r="I18" s="881">
        <v>12</v>
      </c>
      <c r="J18" s="691"/>
      <c r="K18" s="881"/>
      <c r="L18" s="691"/>
      <c r="M18" s="691"/>
      <c r="N18" s="701" t="s">
        <v>22</v>
      </c>
      <c r="O18" s="882">
        <f t="shared" si="1"/>
        <v>7800000</v>
      </c>
      <c r="P18" s="694"/>
      <c r="Q18" s="694"/>
      <c r="R18" s="695"/>
      <c r="S18" s="696"/>
      <c r="U18" s="128">
        <v>1749582000</v>
      </c>
    </row>
    <row r="19" spans="1:21" ht="14.25" customHeight="1">
      <c r="A19" s="778"/>
      <c r="B19" s="786"/>
      <c r="C19" s="786"/>
      <c r="D19" s="786"/>
      <c r="E19" s="3368"/>
      <c r="F19" s="697" t="s">
        <v>1578</v>
      </c>
      <c r="G19" s="880">
        <v>3800000</v>
      </c>
      <c r="H19" s="691" t="s">
        <v>21</v>
      </c>
      <c r="I19" s="881">
        <v>12</v>
      </c>
      <c r="J19" s="691"/>
      <c r="K19" s="881"/>
      <c r="L19" s="691"/>
      <c r="M19" s="691"/>
      <c r="N19" s="701" t="s">
        <v>22</v>
      </c>
      <c r="O19" s="882">
        <f t="shared" si="1"/>
        <v>45600000</v>
      </c>
      <c r="P19" s="694"/>
      <c r="Q19" s="694"/>
      <c r="R19" s="695"/>
      <c r="S19" s="696"/>
    </row>
    <row r="20" spans="1:21" ht="14.25" customHeight="1">
      <c r="A20" s="778"/>
      <c r="B20" s="786"/>
      <c r="C20" s="786"/>
      <c r="D20" s="786"/>
      <c r="E20" s="3368"/>
      <c r="F20" s="697" t="s">
        <v>1579</v>
      </c>
      <c r="G20" s="880">
        <v>600000</v>
      </c>
      <c r="H20" s="691" t="s">
        <v>21</v>
      </c>
      <c r="I20" s="881">
        <v>12</v>
      </c>
      <c r="J20" s="691"/>
      <c r="K20" s="881"/>
      <c r="L20" s="691"/>
      <c r="M20" s="691"/>
      <c r="N20" s="701" t="s">
        <v>22</v>
      </c>
      <c r="O20" s="882">
        <f t="shared" si="1"/>
        <v>7200000</v>
      </c>
      <c r="P20" s="694"/>
      <c r="Q20" s="694"/>
      <c r="R20" s="695"/>
      <c r="S20" s="696"/>
    </row>
    <row r="21" spans="1:21" ht="14.25" customHeight="1">
      <c r="A21" s="778"/>
      <c r="B21" s="786"/>
      <c r="C21" s="786"/>
      <c r="D21" s="786"/>
      <c r="E21" s="3368"/>
      <c r="F21" s="697" t="s">
        <v>1580</v>
      </c>
      <c r="G21" s="880">
        <v>600000</v>
      </c>
      <c r="H21" s="691" t="s">
        <v>21</v>
      </c>
      <c r="I21" s="881">
        <v>12</v>
      </c>
      <c r="J21" s="691"/>
      <c r="K21" s="881"/>
      <c r="L21" s="691"/>
      <c r="M21" s="691"/>
      <c r="N21" s="701" t="s">
        <v>22</v>
      </c>
      <c r="O21" s="882">
        <f t="shared" si="1"/>
        <v>7200000</v>
      </c>
      <c r="P21" s="694"/>
      <c r="Q21" s="694"/>
      <c r="R21" s="695"/>
      <c r="S21" s="696"/>
      <c r="U21" s="1120">
        <f>P5-U18</f>
        <v>0</v>
      </c>
    </row>
    <row r="22" spans="1:21" ht="14.25" customHeight="1">
      <c r="A22" s="778"/>
      <c r="B22" s="786"/>
      <c r="C22" s="786"/>
      <c r="D22" s="786"/>
      <c r="E22" s="3368"/>
      <c r="F22" s="697" t="s">
        <v>1581</v>
      </c>
      <c r="G22" s="880">
        <v>100000</v>
      </c>
      <c r="H22" s="691" t="s">
        <v>21</v>
      </c>
      <c r="I22" s="881">
        <v>12</v>
      </c>
      <c r="J22" s="691"/>
      <c r="K22" s="881"/>
      <c r="L22" s="691"/>
      <c r="M22" s="691"/>
      <c r="N22" s="701" t="s">
        <v>22</v>
      </c>
      <c r="O22" s="882">
        <f t="shared" si="1"/>
        <v>1200000</v>
      </c>
      <c r="P22" s="694"/>
      <c r="Q22" s="694"/>
      <c r="R22" s="695"/>
      <c r="S22" s="696"/>
    </row>
    <row r="23" spans="1:21" ht="14.25" customHeight="1">
      <c r="A23" s="778"/>
      <c r="B23" s="786"/>
      <c r="C23" s="786"/>
      <c r="D23" s="786"/>
      <c r="E23" s="3368"/>
      <c r="F23" s="697" t="s">
        <v>1582</v>
      </c>
      <c r="G23" s="880">
        <v>450000</v>
      </c>
      <c r="H23" s="691" t="s">
        <v>21</v>
      </c>
      <c r="I23" s="881">
        <v>12</v>
      </c>
      <c r="J23" s="691"/>
      <c r="K23" s="881"/>
      <c r="L23" s="691"/>
      <c r="M23" s="691"/>
      <c r="N23" s="701" t="s">
        <v>22</v>
      </c>
      <c r="O23" s="882">
        <f t="shared" si="1"/>
        <v>5400000</v>
      </c>
      <c r="P23" s="694"/>
      <c r="Q23" s="694"/>
      <c r="R23" s="695"/>
      <c r="S23" s="696"/>
    </row>
    <row r="24" spans="1:21" ht="14.25" customHeight="1">
      <c r="A24" s="778"/>
      <c r="B24" s="786"/>
      <c r="C24" s="786"/>
      <c r="D24" s="786"/>
      <c r="E24" s="3368"/>
      <c r="F24" s="697" t="s">
        <v>1583</v>
      </c>
      <c r="G24" s="880">
        <v>500000</v>
      </c>
      <c r="H24" s="691" t="s">
        <v>21</v>
      </c>
      <c r="I24" s="881">
        <v>12</v>
      </c>
      <c r="J24" s="691"/>
      <c r="K24" s="881"/>
      <c r="L24" s="691"/>
      <c r="M24" s="691"/>
      <c r="N24" s="701" t="s">
        <v>22</v>
      </c>
      <c r="O24" s="882">
        <f t="shared" si="1"/>
        <v>6000000</v>
      </c>
      <c r="P24" s="694"/>
      <c r="Q24" s="694"/>
      <c r="R24" s="695"/>
      <c r="S24" s="696"/>
      <c r="U24" s="1160"/>
    </row>
    <row r="25" spans="1:21" ht="14.25" customHeight="1">
      <c r="A25" s="778"/>
      <c r="B25" s="786"/>
      <c r="C25" s="786"/>
      <c r="D25" s="786"/>
      <c r="E25" s="3368"/>
      <c r="F25" s="697" t="s">
        <v>1584</v>
      </c>
      <c r="G25" s="880">
        <v>100000</v>
      </c>
      <c r="H25" s="691" t="s">
        <v>21</v>
      </c>
      <c r="I25" s="881">
        <v>12</v>
      </c>
      <c r="J25" s="691"/>
      <c r="K25" s="881"/>
      <c r="L25" s="691"/>
      <c r="M25" s="691"/>
      <c r="N25" s="701" t="s">
        <v>22</v>
      </c>
      <c r="O25" s="882">
        <f t="shared" si="1"/>
        <v>1200000</v>
      </c>
      <c r="P25" s="694"/>
      <c r="Q25" s="694"/>
      <c r="R25" s="695"/>
      <c r="S25" s="696"/>
      <c r="U25" s="1160">
        <f>O66-U21</f>
        <v>19960000</v>
      </c>
    </row>
    <row r="26" spans="1:21" ht="14.25" customHeight="1">
      <c r="A26" s="778"/>
      <c r="B26" s="786"/>
      <c r="C26" s="786"/>
      <c r="D26" s="786"/>
      <c r="E26" s="3368"/>
      <c r="F26" s="697" t="s">
        <v>1585</v>
      </c>
      <c r="G26" s="880">
        <v>500000</v>
      </c>
      <c r="H26" s="691" t="s">
        <v>21</v>
      </c>
      <c r="I26" s="881">
        <v>12</v>
      </c>
      <c r="J26" s="691"/>
      <c r="K26" s="881"/>
      <c r="L26" s="691"/>
      <c r="M26" s="691"/>
      <c r="N26" s="701" t="s">
        <v>22</v>
      </c>
      <c r="O26" s="882">
        <f t="shared" si="1"/>
        <v>6000000</v>
      </c>
      <c r="P26" s="694"/>
      <c r="Q26" s="694"/>
      <c r="R26" s="695"/>
      <c r="S26" s="696"/>
    </row>
    <row r="27" spans="1:21" ht="14.25" customHeight="1">
      <c r="A27" s="778"/>
      <c r="B27" s="786"/>
      <c r="C27" s="786"/>
      <c r="D27" s="786"/>
      <c r="E27" s="3368"/>
      <c r="F27" s="697" t="s">
        <v>1586</v>
      </c>
      <c r="G27" s="880">
        <v>750000</v>
      </c>
      <c r="H27" s="691" t="s">
        <v>21</v>
      </c>
      <c r="I27" s="881">
        <v>12</v>
      </c>
      <c r="J27" s="691"/>
      <c r="K27" s="881"/>
      <c r="L27" s="691"/>
      <c r="M27" s="691"/>
      <c r="N27" s="701" t="s">
        <v>22</v>
      </c>
      <c r="O27" s="882">
        <f t="shared" si="1"/>
        <v>9000000</v>
      </c>
      <c r="P27" s="694"/>
      <c r="Q27" s="694"/>
      <c r="R27" s="695"/>
      <c r="S27" s="696"/>
    </row>
    <row r="28" spans="1:21" ht="14.25" customHeight="1">
      <c r="A28" s="778"/>
      <c r="B28" s="786"/>
      <c r="C28" s="786"/>
      <c r="D28" s="786"/>
      <c r="E28" s="3368"/>
      <c r="F28" s="697" t="s">
        <v>1587</v>
      </c>
      <c r="G28" s="880">
        <v>400000</v>
      </c>
      <c r="H28" s="691" t="s">
        <v>21</v>
      </c>
      <c r="I28" s="881">
        <v>12</v>
      </c>
      <c r="J28" s="691"/>
      <c r="K28" s="881"/>
      <c r="L28" s="691"/>
      <c r="M28" s="691"/>
      <c r="N28" s="701" t="s">
        <v>22</v>
      </c>
      <c r="O28" s="882">
        <f t="shared" si="1"/>
        <v>4800000</v>
      </c>
      <c r="P28" s="694"/>
      <c r="Q28" s="694"/>
      <c r="R28" s="695"/>
      <c r="S28" s="696"/>
    </row>
    <row r="29" spans="1:21" ht="14.25" customHeight="1">
      <c r="A29" s="778"/>
      <c r="B29" s="786"/>
      <c r="C29" s="786"/>
      <c r="D29" s="786"/>
      <c r="E29" s="3368"/>
      <c r="F29" s="697" t="s">
        <v>1588</v>
      </c>
      <c r="G29" s="880">
        <v>400000</v>
      </c>
      <c r="H29" s="691" t="s">
        <v>21</v>
      </c>
      <c r="I29" s="881">
        <v>12</v>
      </c>
      <c r="J29" s="691"/>
      <c r="K29" s="881"/>
      <c r="L29" s="691"/>
      <c r="M29" s="691"/>
      <c r="N29" s="701" t="s">
        <v>22</v>
      </c>
      <c r="O29" s="882">
        <f t="shared" si="1"/>
        <v>4800000</v>
      </c>
      <c r="P29" s="694"/>
      <c r="Q29" s="694"/>
      <c r="R29" s="695"/>
      <c r="S29" s="696"/>
    </row>
    <row r="30" spans="1:21" ht="14.25" customHeight="1">
      <c r="A30" s="778"/>
      <c r="B30" s="786"/>
      <c r="C30" s="786"/>
      <c r="D30" s="786"/>
      <c r="E30" s="3368"/>
      <c r="F30" s="697" t="s">
        <v>1589</v>
      </c>
      <c r="G30" s="880">
        <v>400000</v>
      </c>
      <c r="H30" s="691" t="s">
        <v>21</v>
      </c>
      <c r="I30" s="881">
        <v>12</v>
      </c>
      <c r="J30" s="691"/>
      <c r="K30" s="881"/>
      <c r="L30" s="691"/>
      <c r="M30" s="691"/>
      <c r="N30" s="701" t="s">
        <v>22</v>
      </c>
      <c r="O30" s="882">
        <f t="shared" si="1"/>
        <v>4800000</v>
      </c>
      <c r="P30" s="694"/>
      <c r="Q30" s="694"/>
      <c r="R30" s="695"/>
      <c r="S30" s="696"/>
      <c r="U30" s="1161">
        <f>U25/12</f>
        <v>1663333.3333333333</v>
      </c>
    </row>
    <row r="31" spans="1:21" ht="14.25" customHeight="1">
      <c r="A31" s="778"/>
      <c r="B31" s="786"/>
      <c r="C31" s="786"/>
      <c r="D31" s="786"/>
      <c r="E31" s="3368"/>
      <c r="F31" s="697" t="s">
        <v>1590</v>
      </c>
      <c r="G31" s="1162">
        <v>2300000</v>
      </c>
      <c r="H31" s="691" t="s">
        <v>21</v>
      </c>
      <c r="I31" s="881">
        <v>12</v>
      </c>
      <c r="J31" s="691"/>
      <c r="K31" s="691"/>
      <c r="L31" s="691"/>
      <c r="M31" s="691"/>
      <c r="N31" s="701" t="s">
        <v>22</v>
      </c>
      <c r="O31" s="882">
        <f t="shared" si="1"/>
        <v>27600000</v>
      </c>
      <c r="P31" s="694"/>
      <c r="Q31" s="694"/>
      <c r="R31" s="695"/>
      <c r="S31" s="696"/>
    </row>
    <row r="32" spans="1:21" ht="14.25" customHeight="1">
      <c r="A32" s="778"/>
      <c r="B32" s="786"/>
      <c r="C32" s="786"/>
      <c r="D32" s="786"/>
      <c r="E32" s="3368"/>
      <c r="F32" s="697" t="s">
        <v>1591</v>
      </c>
      <c r="G32" s="880">
        <v>1450000</v>
      </c>
      <c r="H32" s="691" t="s">
        <v>21</v>
      </c>
      <c r="I32" s="881">
        <v>12</v>
      </c>
      <c r="J32" s="691"/>
      <c r="K32" s="881"/>
      <c r="L32" s="691"/>
      <c r="M32" s="691"/>
      <c r="N32" s="701" t="s">
        <v>22</v>
      </c>
      <c r="O32" s="882">
        <f t="shared" si="1"/>
        <v>17400000</v>
      </c>
      <c r="P32" s="694"/>
      <c r="Q32" s="694"/>
      <c r="R32" s="695"/>
      <c r="S32" s="696"/>
    </row>
    <row r="33" spans="1:19" ht="14.25" customHeight="1">
      <c r="A33" s="778"/>
      <c r="B33" s="786"/>
      <c r="C33" s="786"/>
      <c r="D33" s="786"/>
      <c r="E33" s="3422"/>
      <c r="F33" s="697" t="s">
        <v>1592</v>
      </c>
      <c r="G33" s="880">
        <v>300000</v>
      </c>
      <c r="H33" s="691" t="s">
        <v>21</v>
      </c>
      <c r="I33" s="881">
        <v>12</v>
      </c>
      <c r="J33" s="691"/>
      <c r="K33" s="879"/>
      <c r="L33" s="691"/>
      <c r="M33" s="881"/>
      <c r="N33" s="701" t="s">
        <v>22</v>
      </c>
      <c r="O33" s="882">
        <f t="shared" ref="O33:O44" si="2">G33*I33</f>
        <v>3600000</v>
      </c>
      <c r="P33" s="694"/>
      <c r="Q33" s="694"/>
      <c r="R33" s="695"/>
      <c r="S33" s="696"/>
    </row>
    <row r="34" spans="1:19" ht="14.25" customHeight="1">
      <c r="A34" s="778"/>
      <c r="B34" s="786"/>
      <c r="C34" s="786"/>
      <c r="D34" s="786"/>
      <c r="E34" s="3422"/>
      <c r="F34" s="697" t="s">
        <v>1593</v>
      </c>
      <c r="G34" s="880">
        <v>200000</v>
      </c>
      <c r="H34" s="691" t="s">
        <v>21</v>
      </c>
      <c r="I34" s="881">
        <v>12</v>
      </c>
      <c r="J34" s="691"/>
      <c r="K34" s="879"/>
      <c r="L34" s="691"/>
      <c r="M34" s="881"/>
      <c r="N34" s="701" t="s">
        <v>22</v>
      </c>
      <c r="O34" s="882">
        <f t="shared" si="2"/>
        <v>2400000</v>
      </c>
      <c r="P34" s="694"/>
      <c r="Q34" s="694"/>
      <c r="R34" s="695"/>
      <c r="S34" s="696"/>
    </row>
    <row r="35" spans="1:19" ht="14.25" customHeight="1">
      <c r="A35" s="778"/>
      <c r="B35" s="786"/>
      <c r="C35" s="786"/>
      <c r="D35" s="786"/>
      <c r="E35" s="3368"/>
      <c r="F35" s="697" t="s">
        <v>1594</v>
      </c>
      <c r="G35" s="880">
        <v>2700000</v>
      </c>
      <c r="H35" s="691" t="s">
        <v>21</v>
      </c>
      <c r="I35" s="881">
        <v>12</v>
      </c>
      <c r="J35" s="691"/>
      <c r="K35" s="881"/>
      <c r="L35" s="691"/>
      <c r="M35" s="691"/>
      <c r="N35" s="701" t="s">
        <v>22</v>
      </c>
      <c r="O35" s="882">
        <f t="shared" si="2"/>
        <v>32400000</v>
      </c>
      <c r="P35" s="694"/>
      <c r="Q35" s="694"/>
      <c r="R35" s="695"/>
      <c r="S35" s="696"/>
    </row>
    <row r="36" spans="1:19" ht="14.25" customHeight="1">
      <c r="A36" s="778"/>
      <c r="B36" s="786"/>
      <c r="C36" s="786"/>
      <c r="D36" s="786"/>
      <c r="E36" s="3422"/>
      <c r="F36" s="697" t="s">
        <v>1595</v>
      </c>
      <c r="G36" s="880">
        <v>500000</v>
      </c>
      <c r="H36" s="691" t="s">
        <v>21</v>
      </c>
      <c r="I36" s="881">
        <v>12</v>
      </c>
      <c r="J36" s="691"/>
      <c r="K36" s="879"/>
      <c r="L36" s="691"/>
      <c r="M36" s="881"/>
      <c r="N36" s="701" t="s">
        <v>22</v>
      </c>
      <c r="O36" s="882">
        <f t="shared" si="2"/>
        <v>6000000</v>
      </c>
      <c r="P36" s="694"/>
      <c r="Q36" s="694"/>
      <c r="R36" s="695"/>
      <c r="S36" s="696"/>
    </row>
    <row r="37" spans="1:19" ht="14.25" customHeight="1">
      <c r="A37" s="1130"/>
      <c r="B37" s="846"/>
      <c r="C37" s="846"/>
      <c r="D37" s="846"/>
      <c r="E37" s="3423"/>
      <c r="F37" s="705" t="s">
        <v>1596</v>
      </c>
      <c r="G37" s="893">
        <v>500000</v>
      </c>
      <c r="H37" s="709" t="s">
        <v>21</v>
      </c>
      <c r="I37" s="895">
        <v>12</v>
      </c>
      <c r="J37" s="709"/>
      <c r="K37" s="2994"/>
      <c r="L37" s="709"/>
      <c r="M37" s="895"/>
      <c r="N37" s="710" t="s">
        <v>22</v>
      </c>
      <c r="O37" s="896">
        <f t="shared" si="2"/>
        <v>6000000</v>
      </c>
      <c r="P37" s="712"/>
      <c r="Q37" s="712"/>
      <c r="R37" s="713"/>
      <c r="S37" s="714"/>
    </row>
    <row r="38" spans="1:19" ht="14.25" customHeight="1">
      <c r="A38" s="778"/>
      <c r="B38" s="786"/>
      <c r="C38" s="786"/>
      <c r="D38" s="786"/>
      <c r="E38" s="3368"/>
      <c r="F38" s="697" t="s">
        <v>1597</v>
      </c>
      <c r="G38" s="880">
        <v>1300000</v>
      </c>
      <c r="H38" s="691" t="s">
        <v>21</v>
      </c>
      <c r="I38" s="881">
        <v>10</v>
      </c>
      <c r="J38" s="691"/>
      <c r="K38" s="881"/>
      <c r="L38" s="691"/>
      <c r="M38" s="691"/>
      <c r="N38" s="701" t="s">
        <v>22</v>
      </c>
      <c r="O38" s="882">
        <f t="shared" si="2"/>
        <v>13000000</v>
      </c>
      <c r="P38" s="694"/>
      <c r="Q38" s="694"/>
      <c r="R38" s="695"/>
      <c r="S38" s="696"/>
    </row>
    <row r="39" spans="1:19" ht="14.25" customHeight="1">
      <c r="A39" s="778"/>
      <c r="B39" s="786"/>
      <c r="C39" s="786"/>
      <c r="D39" s="786"/>
      <c r="E39" s="3422"/>
      <c r="F39" s="697" t="s">
        <v>1598</v>
      </c>
      <c r="G39" s="880">
        <v>880000</v>
      </c>
      <c r="H39" s="691" t="s">
        <v>21</v>
      </c>
      <c r="I39" s="881">
        <v>12</v>
      </c>
      <c r="J39" s="691"/>
      <c r="K39" s="879"/>
      <c r="L39" s="691"/>
      <c r="M39" s="881"/>
      <c r="N39" s="701" t="s">
        <v>22</v>
      </c>
      <c r="O39" s="882">
        <f t="shared" si="2"/>
        <v>10560000</v>
      </c>
      <c r="P39" s="694"/>
      <c r="Q39" s="694"/>
      <c r="R39" s="695"/>
      <c r="S39" s="696"/>
    </row>
    <row r="40" spans="1:19" ht="14.25" customHeight="1">
      <c r="A40" s="778"/>
      <c r="B40" s="786"/>
      <c r="C40" s="786"/>
      <c r="D40" s="786"/>
      <c r="E40" s="3422"/>
      <c r="F40" s="697" t="s">
        <v>1599</v>
      </c>
      <c r="G40" s="880">
        <v>650000</v>
      </c>
      <c r="H40" s="691" t="s">
        <v>21</v>
      </c>
      <c r="I40" s="881">
        <v>12</v>
      </c>
      <c r="J40" s="691"/>
      <c r="K40" s="879"/>
      <c r="L40" s="691"/>
      <c r="M40" s="881"/>
      <c r="N40" s="701" t="s">
        <v>22</v>
      </c>
      <c r="O40" s="882">
        <f t="shared" si="2"/>
        <v>7800000</v>
      </c>
      <c r="P40" s="694"/>
      <c r="Q40" s="694"/>
      <c r="R40" s="695"/>
      <c r="S40" s="696"/>
    </row>
    <row r="41" spans="1:19" ht="14.25" customHeight="1">
      <c r="A41" s="778"/>
      <c r="B41" s="786"/>
      <c r="C41" s="786"/>
      <c r="D41" s="786"/>
      <c r="E41" s="3368"/>
      <c r="F41" s="697" t="s">
        <v>1600</v>
      </c>
      <c r="G41" s="880">
        <v>2700000</v>
      </c>
      <c r="H41" s="691" t="s">
        <v>21</v>
      </c>
      <c r="I41" s="881">
        <v>12</v>
      </c>
      <c r="J41" s="691"/>
      <c r="K41" s="881"/>
      <c r="L41" s="691"/>
      <c r="M41" s="691"/>
      <c r="N41" s="701" t="s">
        <v>22</v>
      </c>
      <c r="O41" s="882">
        <f t="shared" si="2"/>
        <v>32400000</v>
      </c>
      <c r="P41" s="694"/>
      <c r="Q41" s="694"/>
      <c r="R41" s="695"/>
      <c r="S41" s="696"/>
    </row>
    <row r="42" spans="1:19" ht="14.25" customHeight="1">
      <c r="A42" s="778"/>
      <c r="B42" s="786"/>
      <c r="C42" s="786"/>
      <c r="D42" s="786"/>
      <c r="E42" s="3368"/>
      <c r="F42" s="697" t="s">
        <v>1601</v>
      </c>
      <c r="G42" s="880">
        <v>3800000</v>
      </c>
      <c r="H42" s="691" t="s">
        <v>21</v>
      </c>
      <c r="I42" s="881">
        <v>12</v>
      </c>
      <c r="J42" s="691"/>
      <c r="K42" s="881"/>
      <c r="L42" s="691"/>
      <c r="M42" s="691"/>
      <c r="N42" s="701" t="s">
        <v>22</v>
      </c>
      <c r="O42" s="882">
        <f t="shared" si="2"/>
        <v>45600000</v>
      </c>
      <c r="P42" s="694"/>
      <c r="Q42" s="694"/>
      <c r="R42" s="695"/>
      <c r="S42" s="696"/>
    </row>
    <row r="43" spans="1:19" ht="14.25" customHeight="1">
      <c r="A43" s="778"/>
      <c r="B43" s="786"/>
      <c r="C43" s="786"/>
      <c r="D43" s="786"/>
      <c r="E43" s="3422"/>
      <c r="F43" s="697" t="s">
        <v>1602</v>
      </c>
      <c r="G43" s="880">
        <v>6500000</v>
      </c>
      <c r="H43" s="691" t="s">
        <v>21</v>
      </c>
      <c r="I43" s="881">
        <v>12</v>
      </c>
      <c r="J43" s="691"/>
      <c r="K43" s="879"/>
      <c r="L43" s="691"/>
      <c r="M43" s="881"/>
      <c r="N43" s="701" t="s">
        <v>22</v>
      </c>
      <c r="O43" s="882">
        <f t="shared" si="2"/>
        <v>78000000</v>
      </c>
      <c r="P43" s="694"/>
      <c r="Q43" s="694"/>
      <c r="R43" s="695"/>
      <c r="S43" s="696"/>
    </row>
    <row r="44" spans="1:19" ht="14.25" customHeight="1">
      <c r="A44" s="778"/>
      <c r="B44" s="786"/>
      <c r="C44" s="786"/>
      <c r="D44" s="786"/>
      <c r="E44" s="3422"/>
      <c r="F44" s="697" t="s">
        <v>1603</v>
      </c>
      <c r="G44" s="880">
        <v>3000000</v>
      </c>
      <c r="H44" s="691" t="s">
        <v>21</v>
      </c>
      <c r="I44" s="881">
        <v>2</v>
      </c>
      <c r="J44" s="691"/>
      <c r="K44" s="879"/>
      <c r="L44" s="691"/>
      <c r="M44" s="881"/>
      <c r="N44" s="701" t="s">
        <v>22</v>
      </c>
      <c r="O44" s="882">
        <f t="shared" si="2"/>
        <v>6000000</v>
      </c>
      <c r="P44" s="694"/>
      <c r="Q44" s="694"/>
      <c r="R44" s="695"/>
      <c r="S44" s="696"/>
    </row>
    <row r="45" spans="1:19" ht="14.25" customHeight="1">
      <c r="A45" s="778"/>
      <c r="B45" s="786"/>
      <c r="C45" s="786"/>
      <c r="D45" s="786"/>
      <c r="E45" s="3637" t="s">
        <v>2985</v>
      </c>
      <c r="F45" s="3638"/>
      <c r="G45" s="3638"/>
      <c r="H45" s="3638"/>
      <c r="I45" s="3638"/>
      <c r="J45" s="3638"/>
      <c r="K45" s="3638"/>
      <c r="L45" s="3638"/>
      <c r="M45" s="3638"/>
      <c r="N45" s="3638"/>
      <c r="O45" s="3639"/>
      <c r="P45" s="645">
        <f>O46+O47+O48+O49+O50+O51+O52+O53+O54+O55+O56</f>
        <v>219760000</v>
      </c>
      <c r="Q45" s="645">
        <f>SUM(Q46:Q62)</f>
        <v>280440000</v>
      </c>
      <c r="R45" s="646">
        <f>+P45-Q45</f>
        <v>-60680000</v>
      </c>
      <c r="S45" s="647">
        <f>+R45/Q45</f>
        <v>-0.21637426900584794</v>
      </c>
    </row>
    <row r="46" spans="1:19" ht="14.25" customHeight="1">
      <c r="A46" s="778"/>
      <c r="B46" s="786"/>
      <c r="C46" s="786"/>
      <c r="D46" s="786"/>
      <c r="F46" s="679" t="s">
        <v>1604</v>
      </c>
      <c r="G46" s="686">
        <v>36000</v>
      </c>
      <c r="H46" s="679" t="s">
        <v>21</v>
      </c>
      <c r="I46" s="874">
        <v>5</v>
      </c>
      <c r="J46" s="679" t="s">
        <v>21</v>
      </c>
      <c r="K46" s="1123">
        <v>12</v>
      </c>
      <c r="L46" s="679"/>
      <c r="M46" s="679" t="s">
        <v>1605</v>
      </c>
      <c r="N46" s="687" t="s">
        <v>22</v>
      </c>
      <c r="O46" s="681">
        <f>G46*I46*K46</f>
        <v>2160000</v>
      </c>
      <c r="P46" s="653">
        <f>O46</f>
        <v>2160000</v>
      </c>
      <c r="Q46" s="653">
        <v>1440000</v>
      </c>
      <c r="R46" s="654">
        <f>+P46-Q46</f>
        <v>720000</v>
      </c>
      <c r="S46" s="688">
        <f>+R46/Q46</f>
        <v>0.5</v>
      </c>
    </row>
    <row r="47" spans="1:19" ht="14.25" customHeight="1">
      <c r="A47" s="778"/>
      <c r="B47" s="786"/>
      <c r="C47" s="786"/>
      <c r="D47" s="786"/>
      <c r="F47" s="679" t="s">
        <v>1606</v>
      </c>
      <c r="G47" s="686">
        <v>2000000</v>
      </c>
      <c r="H47" s="679" t="s">
        <v>21</v>
      </c>
      <c r="I47" s="1124">
        <v>1</v>
      </c>
      <c r="J47" s="679"/>
      <c r="K47" s="913"/>
      <c r="L47" s="679"/>
      <c r="M47" s="679"/>
      <c r="N47" s="687" t="s">
        <v>22</v>
      </c>
      <c r="O47" s="681">
        <f t="shared" ref="O47:O56" si="3">G47*I47</f>
        <v>2000000</v>
      </c>
      <c r="P47" s="653">
        <f>O47</f>
        <v>2000000</v>
      </c>
      <c r="Q47" s="653">
        <v>2000000</v>
      </c>
      <c r="R47" s="654">
        <f>+P47-Q47</f>
        <v>0</v>
      </c>
      <c r="S47" s="688">
        <f>+R47/Q47</f>
        <v>0</v>
      </c>
    </row>
    <row r="48" spans="1:19" ht="14.25" customHeight="1">
      <c r="A48" s="778"/>
      <c r="B48" s="786"/>
      <c r="C48" s="786"/>
      <c r="D48" s="786"/>
      <c r="F48" s="679" t="s">
        <v>1607</v>
      </c>
      <c r="G48" s="686">
        <v>2000000</v>
      </c>
      <c r="H48" s="679" t="s">
        <v>21</v>
      </c>
      <c r="I48" s="1124">
        <v>1</v>
      </c>
      <c r="J48" s="679"/>
      <c r="K48" s="913"/>
      <c r="L48" s="679"/>
      <c r="M48" s="679"/>
      <c r="N48" s="687" t="s">
        <v>22</v>
      </c>
      <c r="O48" s="681">
        <f t="shared" si="3"/>
        <v>2000000</v>
      </c>
      <c r="P48" s="653">
        <f t="shared" ref="P48:P55" si="4">O48</f>
        <v>2000000</v>
      </c>
      <c r="Q48" s="653">
        <v>0</v>
      </c>
      <c r="R48" s="654">
        <f t="shared" ref="R48:R62" si="5">+P48-Q48</f>
        <v>2000000</v>
      </c>
      <c r="S48" s="688"/>
    </row>
    <row r="49" spans="1:19" ht="14.25" customHeight="1">
      <c r="A49" s="778"/>
      <c r="B49" s="786"/>
      <c r="C49" s="786"/>
      <c r="D49" s="786"/>
      <c r="F49" s="679" t="s">
        <v>1608</v>
      </c>
      <c r="G49" s="686">
        <v>10000</v>
      </c>
      <c r="H49" s="679" t="s">
        <v>21</v>
      </c>
      <c r="I49" s="1125">
        <v>3000</v>
      </c>
      <c r="J49" s="679"/>
      <c r="K49" s="913"/>
      <c r="L49" s="679"/>
      <c r="M49" s="679"/>
      <c r="N49" s="687" t="s">
        <v>22</v>
      </c>
      <c r="O49" s="681">
        <f t="shared" si="3"/>
        <v>30000000</v>
      </c>
      <c r="P49" s="653">
        <f t="shared" si="4"/>
        <v>30000000</v>
      </c>
      <c r="Q49" s="653">
        <v>30000000</v>
      </c>
      <c r="R49" s="654">
        <f t="shared" si="5"/>
        <v>0</v>
      </c>
      <c r="S49" s="688">
        <f t="shared" ref="S49:S62" si="6">+R49/Q49</f>
        <v>0</v>
      </c>
    </row>
    <row r="50" spans="1:19" ht="14.25" customHeight="1">
      <c r="A50" s="778"/>
      <c r="B50" s="786"/>
      <c r="C50" s="786"/>
      <c r="D50" s="786"/>
      <c r="F50" s="1126" t="s">
        <v>1609</v>
      </c>
      <c r="G50" s="1127">
        <v>60000</v>
      </c>
      <c r="H50" s="679" t="s">
        <v>21</v>
      </c>
      <c r="I50" s="1125">
        <v>20</v>
      </c>
      <c r="J50" s="1126"/>
      <c r="K50" s="1128"/>
      <c r="L50" s="1126"/>
      <c r="M50" s="1126"/>
      <c r="N50" s="687" t="s">
        <v>22</v>
      </c>
      <c r="O50" s="681">
        <f t="shared" si="3"/>
        <v>1200000</v>
      </c>
      <c r="P50" s="653">
        <f t="shared" si="4"/>
        <v>1200000</v>
      </c>
      <c r="Q50" s="653">
        <v>1200000</v>
      </c>
      <c r="R50" s="654">
        <f t="shared" si="5"/>
        <v>0</v>
      </c>
      <c r="S50" s="688">
        <f t="shared" si="6"/>
        <v>0</v>
      </c>
    </row>
    <row r="51" spans="1:19" ht="14.25" customHeight="1">
      <c r="A51" s="778"/>
      <c r="B51" s="786"/>
      <c r="C51" s="786"/>
      <c r="D51" s="786"/>
      <c r="F51" s="679" t="s">
        <v>1610</v>
      </c>
      <c r="G51" s="686">
        <v>40000</v>
      </c>
      <c r="H51" s="679" t="s">
        <v>21</v>
      </c>
      <c r="I51" s="874">
        <v>60</v>
      </c>
      <c r="J51" s="679"/>
      <c r="K51" s="913"/>
      <c r="L51" s="679"/>
      <c r="M51" s="679"/>
      <c r="N51" s="687" t="s">
        <v>22</v>
      </c>
      <c r="O51" s="681">
        <f t="shared" si="3"/>
        <v>2400000</v>
      </c>
      <c r="P51" s="653">
        <f t="shared" si="4"/>
        <v>2400000</v>
      </c>
      <c r="Q51" s="653">
        <v>5000000</v>
      </c>
      <c r="R51" s="654">
        <f t="shared" si="5"/>
        <v>-2600000</v>
      </c>
      <c r="S51" s="688">
        <f t="shared" si="6"/>
        <v>-0.52</v>
      </c>
    </row>
    <row r="52" spans="1:19" ht="14.25" customHeight="1">
      <c r="A52" s="778"/>
      <c r="B52" s="786"/>
      <c r="C52" s="786"/>
      <c r="D52" s="786"/>
      <c r="F52" s="679" t="s">
        <v>1611</v>
      </c>
      <c r="G52" s="686">
        <v>2000000</v>
      </c>
      <c r="H52" s="679" t="s">
        <v>21</v>
      </c>
      <c r="I52" s="1124">
        <v>1</v>
      </c>
      <c r="J52" s="679"/>
      <c r="K52" s="913"/>
      <c r="L52" s="679"/>
      <c r="M52" s="679"/>
      <c r="N52" s="687" t="s">
        <v>22</v>
      </c>
      <c r="O52" s="681">
        <f t="shared" si="3"/>
        <v>2000000</v>
      </c>
      <c r="P52" s="653">
        <f t="shared" si="4"/>
        <v>2000000</v>
      </c>
      <c r="Q52" s="653">
        <v>0</v>
      </c>
      <c r="R52" s="654">
        <f t="shared" si="5"/>
        <v>2000000</v>
      </c>
      <c r="S52" s="688"/>
    </row>
    <row r="53" spans="1:19" ht="14.25" customHeight="1">
      <c r="A53" s="778"/>
      <c r="B53" s="786"/>
      <c r="C53" s="786"/>
      <c r="D53" s="786"/>
      <c r="F53" s="679" t="s">
        <v>1612</v>
      </c>
      <c r="G53" s="686">
        <v>10000</v>
      </c>
      <c r="H53" s="679" t="s">
        <v>21</v>
      </c>
      <c r="I53" s="874">
        <v>2000</v>
      </c>
      <c r="J53" s="679"/>
      <c r="K53" s="913"/>
      <c r="L53" s="679"/>
      <c r="M53" s="679"/>
      <c r="N53" s="687" t="s">
        <v>22</v>
      </c>
      <c r="O53" s="681">
        <f t="shared" si="3"/>
        <v>20000000</v>
      </c>
      <c r="P53" s="653">
        <f t="shared" si="4"/>
        <v>20000000</v>
      </c>
      <c r="Q53" s="653">
        <v>20000000</v>
      </c>
      <c r="R53" s="654">
        <f t="shared" si="5"/>
        <v>0</v>
      </c>
      <c r="S53" s="688">
        <f t="shared" si="6"/>
        <v>0</v>
      </c>
    </row>
    <row r="54" spans="1:19" ht="14.25" customHeight="1">
      <c r="A54" s="778"/>
      <c r="B54" s="786"/>
      <c r="C54" s="786"/>
      <c r="D54" s="786"/>
      <c r="F54" s="679" t="s">
        <v>1613</v>
      </c>
      <c r="G54" s="686">
        <v>140000000</v>
      </c>
      <c r="H54" s="679" t="s">
        <v>21</v>
      </c>
      <c r="I54" s="1124">
        <v>1</v>
      </c>
      <c r="J54" s="679"/>
      <c r="K54" s="913"/>
      <c r="L54" s="679"/>
      <c r="M54" s="679"/>
      <c r="N54" s="687" t="s">
        <v>22</v>
      </c>
      <c r="O54" s="681">
        <f t="shared" si="3"/>
        <v>140000000</v>
      </c>
      <c r="P54" s="653">
        <f t="shared" si="4"/>
        <v>140000000</v>
      </c>
      <c r="Q54" s="653">
        <v>40000000</v>
      </c>
      <c r="R54" s="654">
        <f t="shared" si="5"/>
        <v>100000000</v>
      </c>
      <c r="S54" s="688">
        <f t="shared" si="6"/>
        <v>2.5</v>
      </c>
    </row>
    <row r="55" spans="1:19" ht="14.25" customHeight="1">
      <c r="A55" s="778"/>
      <c r="B55" s="786"/>
      <c r="C55" s="786"/>
      <c r="D55" s="786"/>
      <c r="F55" s="679" t="s">
        <v>1614</v>
      </c>
      <c r="G55" s="686">
        <v>10000</v>
      </c>
      <c r="H55" s="679" t="s">
        <v>21</v>
      </c>
      <c r="I55" s="874">
        <v>200</v>
      </c>
      <c r="J55" s="679"/>
      <c r="K55" s="913"/>
      <c r="L55" s="679"/>
      <c r="M55" s="679"/>
      <c r="N55" s="687" t="s">
        <v>22</v>
      </c>
      <c r="O55" s="681">
        <f t="shared" si="3"/>
        <v>2000000</v>
      </c>
      <c r="P55" s="653">
        <f t="shared" si="4"/>
        <v>2000000</v>
      </c>
      <c r="Q55" s="653">
        <v>10000000</v>
      </c>
      <c r="R55" s="654">
        <f t="shared" si="5"/>
        <v>-8000000</v>
      </c>
      <c r="S55" s="688">
        <f t="shared" si="6"/>
        <v>-0.8</v>
      </c>
    </row>
    <row r="56" spans="1:19" ht="14.25" customHeight="1">
      <c r="A56" s="778"/>
      <c r="B56" s="786"/>
      <c r="C56" s="786"/>
      <c r="D56" s="792"/>
      <c r="E56" s="786"/>
      <c r="F56" s="679" t="s">
        <v>1615</v>
      </c>
      <c r="G56" s="686">
        <v>800000</v>
      </c>
      <c r="H56" s="679" t="s">
        <v>21</v>
      </c>
      <c r="I56" s="874">
        <v>20</v>
      </c>
      <c r="J56" s="679"/>
      <c r="K56" s="913"/>
      <c r="L56" s="679"/>
      <c r="M56" s="679"/>
      <c r="N56" s="687" t="s">
        <v>22</v>
      </c>
      <c r="O56" s="681">
        <f t="shared" si="3"/>
        <v>16000000</v>
      </c>
      <c r="P56" s="653">
        <f t="shared" ref="P56:P62" si="7">O56</f>
        <v>16000000</v>
      </c>
      <c r="Q56" s="653">
        <v>0</v>
      </c>
      <c r="R56" s="654">
        <f t="shared" si="5"/>
        <v>16000000</v>
      </c>
      <c r="S56" s="688"/>
    </row>
    <row r="57" spans="1:19" ht="14.25" customHeight="1">
      <c r="A57" s="778"/>
      <c r="B57" s="786"/>
      <c r="C57" s="786"/>
      <c r="D57" s="792"/>
      <c r="E57" s="786"/>
      <c r="F57" s="679" t="s">
        <v>2867</v>
      </c>
      <c r="G57" s="686"/>
      <c r="H57" s="679"/>
      <c r="I57" s="874"/>
      <c r="J57" s="679"/>
      <c r="K57" s="913"/>
      <c r="L57" s="679"/>
      <c r="M57" s="679"/>
      <c r="N57" s="687"/>
      <c r="O57" s="681"/>
      <c r="P57" s="653">
        <f t="shared" si="7"/>
        <v>0</v>
      </c>
      <c r="Q57" s="653">
        <v>7800000</v>
      </c>
      <c r="R57" s="654">
        <f t="shared" si="5"/>
        <v>-7800000</v>
      </c>
      <c r="S57" s="688">
        <f t="shared" si="6"/>
        <v>-1</v>
      </c>
    </row>
    <row r="58" spans="1:19" ht="14.25" customHeight="1">
      <c r="A58" s="778"/>
      <c r="B58" s="786"/>
      <c r="C58" s="786"/>
      <c r="D58" s="792"/>
      <c r="E58" s="786"/>
      <c r="F58" s="679" t="s">
        <v>2868</v>
      </c>
      <c r="G58" s="686"/>
      <c r="H58" s="679"/>
      <c r="I58" s="874"/>
      <c r="J58" s="679"/>
      <c r="K58" s="913"/>
      <c r="L58" s="679"/>
      <c r="M58" s="679"/>
      <c r="N58" s="687"/>
      <c r="O58" s="681"/>
      <c r="P58" s="653">
        <f t="shared" si="7"/>
        <v>0</v>
      </c>
      <c r="Q58" s="653">
        <v>3000000</v>
      </c>
      <c r="R58" s="654">
        <f t="shared" si="5"/>
        <v>-3000000</v>
      </c>
      <c r="S58" s="688">
        <f t="shared" si="6"/>
        <v>-1</v>
      </c>
    </row>
    <row r="59" spans="1:19" ht="14.25" customHeight="1">
      <c r="A59" s="778"/>
      <c r="B59" s="786"/>
      <c r="C59" s="786"/>
      <c r="D59" s="792"/>
      <c r="E59" s="786"/>
      <c r="F59" s="679" t="s">
        <v>2869</v>
      </c>
      <c r="G59" s="686"/>
      <c r="H59" s="679"/>
      <c r="I59" s="874"/>
      <c r="J59" s="679"/>
      <c r="K59" s="913"/>
      <c r="L59" s="679"/>
      <c r="M59" s="679"/>
      <c r="N59" s="687"/>
      <c r="O59" s="681"/>
      <c r="P59" s="653">
        <f t="shared" si="7"/>
        <v>0</v>
      </c>
      <c r="Q59" s="653">
        <v>144000000</v>
      </c>
      <c r="R59" s="654">
        <f t="shared" si="5"/>
        <v>-144000000</v>
      </c>
      <c r="S59" s="688">
        <f t="shared" si="6"/>
        <v>-1</v>
      </c>
    </row>
    <row r="60" spans="1:19" ht="14.25" customHeight="1">
      <c r="A60" s="778"/>
      <c r="B60" s="786"/>
      <c r="C60" s="786"/>
      <c r="D60" s="792"/>
      <c r="E60" s="786"/>
      <c r="F60" s="679" t="s">
        <v>2870</v>
      </c>
      <c r="G60" s="686"/>
      <c r="H60" s="679"/>
      <c r="I60" s="874"/>
      <c r="J60" s="679"/>
      <c r="K60" s="913"/>
      <c r="L60" s="679"/>
      <c r="M60" s="679"/>
      <c r="N60" s="687"/>
      <c r="O60" s="681"/>
      <c r="P60" s="653">
        <f t="shared" si="7"/>
        <v>0</v>
      </c>
      <c r="Q60" s="653">
        <v>5000000</v>
      </c>
      <c r="R60" s="654">
        <f t="shared" si="5"/>
        <v>-5000000</v>
      </c>
      <c r="S60" s="688">
        <f t="shared" si="6"/>
        <v>-1</v>
      </c>
    </row>
    <row r="61" spans="1:19" ht="14.25" customHeight="1">
      <c r="A61" s="778"/>
      <c r="B61" s="786"/>
      <c r="C61" s="786"/>
      <c r="D61" s="792"/>
      <c r="E61" s="786"/>
      <c r="F61" s="679" t="s">
        <v>2871</v>
      </c>
      <c r="G61" s="686"/>
      <c r="H61" s="679"/>
      <c r="I61" s="874"/>
      <c r="J61" s="679"/>
      <c r="K61" s="913"/>
      <c r="L61" s="679"/>
      <c r="M61" s="679"/>
      <c r="N61" s="687"/>
      <c r="O61" s="681"/>
      <c r="P61" s="653">
        <f t="shared" si="7"/>
        <v>0</v>
      </c>
      <c r="Q61" s="653">
        <v>10000000</v>
      </c>
      <c r="R61" s="654">
        <f t="shared" si="5"/>
        <v>-10000000</v>
      </c>
      <c r="S61" s="688">
        <f t="shared" si="6"/>
        <v>-1</v>
      </c>
    </row>
    <row r="62" spans="1:19" ht="14.25" customHeight="1">
      <c r="A62" s="778"/>
      <c r="B62" s="786"/>
      <c r="C62" s="786"/>
      <c r="D62" s="792"/>
      <c r="E62" s="786"/>
      <c r="F62" s="679" t="s">
        <v>2872</v>
      </c>
      <c r="G62" s="686"/>
      <c r="H62" s="679"/>
      <c r="I62" s="874"/>
      <c r="J62" s="679"/>
      <c r="K62" s="913"/>
      <c r="L62" s="679"/>
      <c r="M62" s="679"/>
      <c r="N62" s="687"/>
      <c r="O62" s="681"/>
      <c r="P62" s="653">
        <f t="shared" si="7"/>
        <v>0</v>
      </c>
      <c r="Q62" s="653">
        <v>1000000</v>
      </c>
      <c r="R62" s="654">
        <f t="shared" si="5"/>
        <v>-1000000</v>
      </c>
      <c r="S62" s="688">
        <f t="shared" si="6"/>
        <v>-1</v>
      </c>
    </row>
    <row r="63" spans="1:19" ht="14.25" customHeight="1">
      <c r="A63" s="778"/>
      <c r="B63" s="786"/>
      <c r="C63" s="786"/>
      <c r="D63" s="716" t="s">
        <v>410</v>
      </c>
      <c r="E63" s="3345"/>
      <c r="F63" s="716"/>
      <c r="G63" s="717"/>
      <c r="H63" s="716"/>
      <c r="I63" s="716"/>
      <c r="J63" s="716"/>
      <c r="K63" s="716"/>
      <c r="L63" s="716"/>
      <c r="M63" s="716"/>
      <c r="N63" s="718"/>
      <c r="O63" s="716"/>
      <c r="P63" s="685">
        <f>SUM(P64+P67)</f>
        <v>19960000</v>
      </c>
      <c r="Q63" s="685">
        <f>SUM(Q64+Q67)</f>
        <v>28438000</v>
      </c>
      <c r="R63" s="793">
        <f>+P63-Q63</f>
        <v>-8478000</v>
      </c>
      <c r="S63" s="873">
        <f>+R63/Q63</f>
        <v>-0.29812223081791966</v>
      </c>
    </row>
    <row r="64" spans="1:19" ht="14.25" customHeight="1">
      <c r="A64" s="778"/>
      <c r="B64" s="786"/>
      <c r="C64" s="786"/>
      <c r="D64" s="792"/>
      <c r="E64" s="3637" t="s">
        <v>2986</v>
      </c>
      <c r="F64" s="3638"/>
      <c r="G64" s="3638"/>
      <c r="H64" s="3638"/>
      <c r="I64" s="3638"/>
      <c r="J64" s="3638"/>
      <c r="K64" s="3638"/>
      <c r="L64" s="3638"/>
      <c r="M64" s="3638"/>
      <c r="N64" s="3638"/>
      <c r="O64" s="3639"/>
      <c r="P64" s="645">
        <f>ROUNDUP(O65,-3)</f>
        <v>19960000</v>
      </c>
      <c r="Q64" s="645">
        <v>27238000</v>
      </c>
      <c r="R64" s="646">
        <f>+P64-Q64</f>
        <v>-7278000</v>
      </c>
      <c r="S64" s="647">
        <f>+R64/Q64</f>
        <v>-0.26720023496585654</v>
      </c>
    </row>
    <row r="65" spans="1:19" ht="14.25" customHeight="1">
      <c r="A65" s="778"/>
      <c r="B65" s="786"/>
      <c r="C65" s="786"/>
      <c r="D65" s="792"/>
      <c r="E65" s="786"/>
      <c r="F65" s="679" t="s">
        <v>158</v>
      </c>
      <c r="G65" s="686"/>
      <c r="H65" s="679"/>
      <c r="I65" s="679"/>
      <c r="J65" s="679"/>
      <c r="K65" s="679"/>
      <c r="L65" s="679"/>
      <c r="M65" s="679"/>
      <c r="N65" s="687"/>
      <c r="O65" s="681">
        <f>SUM(O66:O66)</f>
        <v>19960000</v>
      </c>
      <c r="P65" s="653">
        <f t="shared" ref="P65" si="8">O65</f>
        <v>19960000</v>
      </c>
      <c r="Q65" s="653">
        <f>Q64</f>
        <v>27238000</v>
      </c>
      <c r="R65" s="654">
        <f>+P65-Q65</f>
        <v>-7278000</v>
      </c>
      <c r="S65" s="688">
        <f>+R65/Q65</f>
        <v>-0.26720023496585654</v>
      </c>
    </row>
    <row r="66" spans="1:19" ht="14.25" customHeight="1">
      <c r="A66" s="778"/>
      <c r="B66" s="786"/>
      <c r="C66" s="786"/>
      <c r="D66" s="792"/>
      <c r="E66" s="786"/>
      <c r="F66" s="697" t="s">
        <v>159</v>
      </c>
      <c r="G66" s="880">
        <v>19960000</v>
      </c>
      <c r="H66" s="691" t="s">
        <v>21</v>
      </c>
      <c r="I66" s="1132">
        <v>1</v>
      </c>
      <c r="J66" s="691" t="s">
        <v>1616</v>
      </c>
      <c r="K66" s="881"/>
      <c r="L66" s="691"/>
      <c r="M66" s="691"/>
      <c r="N66" s="701" t="s">
        <v>22</v>
      </c>
      <c r="O66" s="882">
        <f>G66*I66</f>
        <v>19960000</v>
      </c>
      <c r="P66" s="694"/>
      <c r="Q66" s="694"/>
      <c r="R66" s="695"/>
      <c r="S66" s="696"/>
    </row>
    <row r="67" spans="1:19" ht="14.25" customHeight="1">
      <c r="A67" s="778"/>
      <c r="B67" s="786"/>
      <c r="C67" s="786"/>
      <c r="D67" s="897"/>
      <c r="E67" s="3637" t="s">
        <v>160</v>
      </c>
      <c r="F67" s="3638"/>
      <c r="G67" s="3638"/>
      <c r="H67" s="3638"/>
      <c r="I67" s="3638"/>
      <c r="J67" s="3638"/>
      <c r="K67" s="3638"/>
      <c r="L67" s="3638"/>
      <c r="M67" s="3638"/>
      <c r="N67" s="3638"/>
      <c r="O67" s="3639"/>
      <c r="P67" s="645">
        <v>0</v>
      </c>
      <c r="Q67" s="645">
        <v>1200000</v>
      </c>
      <c r="R67" s="646">
        <f>+P67-Q67</f>
        <v>-1200000</v>
      </c>
      <c r="S67" s="647">
        <f>+R67/Q67</f>
        <v>-1</v>
      </c>
    </row>
    <row r="68" spans="1:19" ht="14.25" customHeight="1">
      <c r="A68" s="778"/>
      <c r="B68" s="786"/>
      <c r="C68" s="786"/>
      <c r="D68" s="635" t="s">
        <v>411</v>
      </c>
      <c r="E68" s="634"/>
      <c r="F68" s="635"/>
      <c r="G68" s="636"/>
      <c r="H68" s="635"/>
      <c r="I68" s="635"/>
      <c r="J68" s="635"/>
      <c r="K68" s="635"/>
      <c r="L68" s="635"/>
      <c r="M68" s="635"/>
      <c r="N68" s="637"/>
      <c r="O68" s="635"/>
      <c r="P68" s="638">
        <f>P69</f>
        <v>71868000</v>
      </c>
      <c r="Q68" s="638">
        <f>Q69</f>
        <v>68224000</v>
      </c>
      <c r="R68" s="793">
        <f>+P68-Q68</f>
        <v>3644000</v>
      </c>
      <c r="S68" s="873">
        <f>+R68/Q68</f>
        <v>5.3412288930581614E-2</v>
      </c>
    </row>
    <row r="69" spans="1:19" ht="14.25" customHeight="1">
      <c r="A69" s="778"/>
      <c r="B69" s="786"/>
      <c r="C69" s="786"/>
      <c r="D69" s="792"/>
      <c r="E69" s="3637" t="s">
        <v>2987</v>
      </c>
      <c r="F69" s="3638"/>
      <c r="G69" s="3638"/>
      <c r="H69" s="3638"/>
      <c r="I69" s="3638"/>
      <c r="J69" s="3638"/>
      <c r="K69" s="3638"/>
      <c r="L69" s="3638"/>
      <c r="M69" s="3638"/>
      <c r="N69" s="3638"/>
      <c r="O69" s="3639"/>
      <c r="P69" s="645">
        <f>O70+O74</f>
        <v>71868000</v>
      </c>
      <c r="Q69" s="645">
        <v>68224000</v>
      </c>
      <c r="R69" s="646">
        <f>+P69-Q69</f>
        <v>3644000</v>
      </c>
      <c r="S69" s="647">
        <f>+R69/Q69</f>
        <v>5.3412288930581614E-2</v>
      </c>
    </row>
    <row r="70" spans="1:19" ht="14.25" customHeight="1">
      <c r="A70" s="778"/>
      <c r="B70" s="786"/>
      <c r="C70" s="786"/>
      <c r="D70" s="786"/>
      <c r="E70" s="3377"/>
      <c r="F70" s="679" t="s">
        <v>1617</v>
      </c>
      <c r="G70" s="686"/>
      <c r="H70" s="679"/>
      <c r="I70" s="679"/>
      <c r="J70" s="679"/>
      <c r="K70" s="679"/>
      <c r="L70" s="679"/>
      <c r="M70" s="679"/>
      <c r="N70" s="687"/>
      <c r="O70" s="681">
        <f>SUM(O71:O73)</f>
        <v>56868000</v>
      </c>
      <c r="P70" s="653">
        <f t="shared" ref="P70" si="9">O70</f>
        <v>56868000</v>
      </c>
      <c r="Q70" s="653">
        <v>59724000</v>
      </c>
      <c r="R70" s="654">
        <f>+P70-Q70</f>
        <v>-2856000</v>
      </c>
      <c r="S70" s="688">
        <f>+R70/Q70</f>
        <v>-4.7819971870604779E-2</v>
      </c>
    </row>
    <row r="71" spans="1:19" ht="14.25" customHeight="1">
      <c r="A71" s="778"/>
      <c r="B71" s="786"/>
      <c r="C71" s="786"/>
      <c r="D71" s="792"/>
      <c r="E71" s="3424"/>
      <c r="F71" s="697" t="s">
        <v>1618</v>
      </c>
      <c r="G71" s="880">
        <v>3300</v>
      </c>
      <c r="H71" s="691" t="s">
        <v>21</v>
      </c>
      <c r="I71" s="876">
        <v>40</v>
      </c>
      <c r="J71" s="691" t="s">
        <v>21</v>
      </c>
      <c r="K71" s="1163">
        <v>249</v>
      </c>
      <c r="L71" s="691"/>
      <c r="M71" s="881"/>
      <c r="N71" s="701" t="s">
        <v>22</v>
      </c>
      <c r="O71" s="882">
        <f>G71*I71*K71</f>
        <v>32868000</v>
      </c>
      <c r="P71" s="694"/>
      <c r="Q71" s="694"/>
      <c r="R71" s="695"/>
      <c r="S71" s="696"/>
    </row>
    <row r="72" spans="1:19" ht="14.25" customHeight="1">
      <c r="A72" s="778"/>
      <c r="B72" s="786"/>
      <c r="C72" s="786"/>
      <c r="D72" s="792"/>
      <c r="E72" s="3424"/>
      <c r="F72" s="697" t="s">
        <v>1619</v>
      </c>
      <c r="G72" s="880">
        <v>80000</v>
      </c>
      <c r="H72" s="691" t="s">
        <v>21</v>
      </c>
      <c r="I72" s="876">
        <v>20</v>
      </c>
      <c r="J72" s="691" t="s">
        <v>21</v>
      </c>
      <c r="K72" s="881">
        <v>12</v>
      </c>
      <c r="L72" s="691"/>
      <c r="M72" s="881"/>
      <c r="N72" s="701" t="s">
        <v>22</v>
      </c>
      <c r="O72" s="882">
        <f>G72*I72*K72</f>
        <v>19200000</v>
      </c>
      <c r="P72" s="694"/>
      <c r="Q72" s="694"/>
      <c r="R72" s="695"/>
      <c r="S72" s="696"/>
    </row>
    <row r="73" spans="1:19" ht="14.25" customHeight="1">
      <c r="A73" s="1130"/>
      <c r="B73" s="846"/>
      <c r="C73" s="846"/>
      <c r="D73" s="780"/>
      <c r="E73" s="3425"/>
      <c r="F73" s="705" t="s">
        <v>1620</v>
      </c>
      <c r="G73" s="893">
        <v>80000</v>
      </c>
      <c r="H73" s="709" t="s">
        <v>21</v>
      </c>
      <c r="I73" s="2382">
        <v>5</v>
      </c>
      <c r="J73" s="709" t="s">
        <v>21</v>
      </c>
      <c r="K73" s="895">
        <v>12</v>
      </c>
      <c r="L73" s="709"/>
      <c r="M73" s="895"/>
      <c r="N73" s="710" t="s">
        <v>22</v>
      </c>
      <c r="O73" s="896">
        <f>G73*I73*K73</f>
        <v>4800000</v>
      </c>
      <c r="P73" s="712"/>
      <c r="Q73" s="712"/>
      <c r="R73" s="713"/>
      <c r="S73" s="714"/>
    </row>
    <row r="74" spans="1:19" ht="14.25" customHeight="1">
      <c r="A74" s="778"/>
      <c r="B74" s="786"/>
      <c r="C74" s="786"/>
      <c r="D74" s="792"/>
      <c r="E74" s="3424"/>
      <c r="F74" s="679" t="s">
        <v>1621</v>
      </c>
      <c r="G74" s="686"/>
      <c r="H74" s="679"/>
      <c r="I74" s="679"/>
      <c r="J74" s="679"/>
      <c r="K74" s="679"/>
      <c r="L74" s="679"/>
      <c r="M74" s="679"/>
      <c r="N74" s="687"/>
      <c r="O74" s="681">
        <f>SUM(O75:O75)</f>
        <v>15000000</v>
      </c>
      <c r="P74" s="653">
        <f t="shared" ref="P74" si="10">O74</f>
        <v>15000000</v>
      </c>
      <c r="Q74" s="653">
        <v>8500000</v>
      </c>
      <c r="R74" s="654">
        <f>+P74-Q74</f>
        <v>6500000</v>
      </c>
      <c r="S74" s="688">
        <f>+R74/Q74</f>
        <v>0.76470588235294112</v>
      </c>
    </row>
    <row r="75" spans="1:19" ht="14.25" customHeight="1">
      <c r="A75" s="778"/>
      <c r="B75" s="786"/>
      <c r="C75" s="846"/>
      <c r="D75" s="792"/>
      <c r="E75" s="3425"/>
      <c r="F75" s="697" t="s">
        <v>1622</v>
      </c>
      <c r="G75" s="880">
        <v>15000000</v>
      </c>
      <c r="H75" s="691" t="s">
        <v>21</v>
      </c>
      <c r="I75" s="1132">
        <v>1</v>
      </c>
      <c r="J75" s="691"/>
      <c r="K75" s="1163"/>
      <c r="L75" s="691"/>
      <c r="M75" s="881"/>
      <c r="N75" s="701" t="s">
        <v>22</v>
      </c>
      <c r="O75" s="882">
        <f>G75*I75</f>
        <v>15000000</v>
      </c>
      <c r="P75" s="694"/>
      <c r="Q75" s="694"/>
      <c r="R75" s="695"/>
      <c r="S75" s="696"/>
    </row>
    <row r="76" spans="1:19" ht="14.25" customHeight="1">
      <c r="A76" s="778"/>
      <c r="B76" s="786"/>
      <c r="C76" s="3707" t="s">
        <v>412</v>
      </c>
      <c r="D76" s="3708"/>
      <c r="E76" s="3708"/>
      <c r="F76" s="3708"/>
      <c r="G76" s="3708"/>
      <c r="H76" s="3708"/>
      <c r="I76" s="3708"/>
      <c r="J76" s="3708"/>
      <c r="K76" s="3708"/>
      <c r="L76" s="3708"/>
      <c r="M76" s="3708"/>
      <c r="N76" s="3708"/>
      <c r="O76" s="3709"/>
      <c r="P76" s="872">
        <f>SUM(P77,P81,P86)</f>
        <v>981604000</v>
      </c>
      <c r="Q76" s="872">
        <f>SUM(Q77,Q81,Q86)</f>
        <v>1114394000</v>
      </c>
      <c r="R76" s="867">
        <f>+P76-Q76</f>
        <v>-132790000</v>
      </c>
      <c r="S76" s="868">
        <f>+R76/Q76</f>
        <v>-0.11915893301650943</v>
      </c>
    </row>
    <row r="77" spans="1:19" ht="14.25" customHeight="1">
      <c r="A77" s="778"/>
      <c r="B77" s="786"/>
      <c r="C77" s="844"/>
      <c r="D77" s="3712" t="s">
        <v>17</v>
      </c>
      <c r="E77" s="3712"/>
      <c r="F77" s="1129"/>
      <c r="G77" s="636"/>
      <c r="H77" s="635"/>
      <c r="I77" s="635"/>
      <c r="J77" s="635"/>
      <c r="K77" s="635"/>
      <c r="L77" s="635"/>
      <c r="M77" s="635"/>
      <c r="N77" s="637"/>
      <c r="O77" s="635"/>
      <c r="P77" s="638">
        <f>P78</f>
        <v>500000</v>
      </c>
      <c r="Q77" s="638">
        <f>Q78</f>
        <v>500000</v>
      </c>
      <c r="R77" s="793">
        <f>+P77-Q77</f>
        <v>0</v>
      </c>
      <c r="S77" s="873">
        <f>+R77/Q77</f>
        <v>0</v>
      </c>
    </row>
    <row r="78" spans="1:19" ht="14.25" customHeight="1">
      <c r="A78" s="778"/>
      <c r="B78" s="786"/>
      <c r="C78" s="786"/>
      <c r="D78" s="1164"/>
      <c r="E78" s="3297" t="s">
        <v>413</v>
      </c>
      <c r="F78" s="795"/>
      <c r="G78" s="796"/>
      <c r="H78" s="795"/>
      <c r="I78" s="795"/>
      <c r="J78" s="795"/>
      <c r="K78" s="795"/>
      <c r="L78" s="795"/>
      <c r="M78" s="795"/>
      <c r="N78" s="797"/>
      <c r="O78" s="795"/>
      <c r="P78" s="645">
        <f>ROUNDUP(O79,-3)</f>
        <v>500000</v>
      </c>
      <c r="Q78" s="645">
        <v>500000</v>
      </c>
      <c r="R78" s="646">
        <f>+P78-Q78</f>
        <v>0</v>
      </c>
      <c r="S78" s="647">
        <f>+R78/Q78</f>
        <v>0</v>
      </c>
    </row>
    <row r="79" spans="1:19" ht="14.25" customHeight="1">
      <c r="A79" s="778"/>
      <c r="B79" s="786"/>
      <c r="C79" s="786"/>
      <c r="D79" s="792"/>
      <c r="E79" s="786"/>
      <c r="F79" s="679" t="s">
        <v>1623</v>
      </c>
      <c r="G79" s="686"/>
      <c r="H79" s="679"/>
      <c r="I79" s="679"/>
      <c r="J79" s="679"/>
      <c r="K79" s="679"/>
      <c r="L79" s="679"/>
      <c r="M79" s="679"/>
      <c r="N79" s="687"/>
      <c r="O79" s="681">
        <f>SUM(O80:O80)</f>
        <v>500000</v>
      </c>
      <c r="P79" s="653">
        <v>500000</v>
      </c>
      <c r="Q79" s="653">
        <v>500000</v>
      </c>
      <c r="R79" s="654">
        <f>+P79-Q79</f>
        <v>0</v>
      </c>
      <c r="S79" s="688">
        <f>+R79/Q79</f>
        <v>0</v>
      </c>
    </row>
    <row r="80" spans="1:19" ht="14.25" customHeight="1">
      <c r="A80" s="778"/>
      <c r="B80" s="786"/>
      <c r="C80" s="786"/>
      <c r="D80" s="792"/>
      <c r="E80" s="786"/>
      <c r="F80" s="697" t="s">
        <v>20</v>
      </c>
      <c r="G80" s="880">
        <v>500000</v>
      </c>
      <c r="H80" s="691" t="s">
        <v>21</v>
      </c>
      <c r="I80" s="1165">
        <v>1</v>
      </c>
      <c r="J80" s="691"/>
      <c r="K80" s="881"/>
      <c r="L80" s="691"/>
      <c r="M80" s="691"/>
      <c r="N80" s="701" t="s">
        <v>22</v>
      </c>
      <c r="O80" s="882">
        <f>G80*I80</f>
        <v>500000</v>
      </c>
      <c r="P80" s="694"/>
      <c r="Q80" s="694"/>
      <c r="R80" s="695"/>
      <c r="S80" s="696"/>
    </row>
    <row r="81" spans="1:22" ht="14.25" customHeight="1">
      <c r="A81" s="778"/>
      <c r="B81" s="786"/>
      <c r="C81" s="786"/>
      <c r="D81" s="533" t="s">
        <v>23</v>
      </c>
      <c r="E81" s="2229"/>
      <c r="F81" s="635"/>
      <c r="G81" s="636"/>
      <c r="H81" s="635"/>
      <c r="I81" s="635"/>
      <c r="J81" s="635"/>
      <c r="K81" s="635"/>
      <c r="L81" s="635"/>
      <c r="M81" s="635"/>
      <c r="N81" s="637"/>
      <c r="O81" s="635"/>
      <c r="P81" s="638">
        <f>P82+P85</f>
        <v>931104000</v>
      </c>
      <c r="Q81" s="638">
        <f>Q82+Q85</f>
        <v>1063894000</v>
      </c>
      <c r="R81" s="793">
        <f>+P81-Q81</f>
        <v>-132790000</v>
      </c>
      <c r="S81" s="873">
        <f>+R81/Q81</f>
        <v>-0.12481506616260643</v>
      </c>
    </row>
    <row r="82" spans="1:22" ht="14.25" customHeight="1">
      <c r="A82" s="778"/>
      <c r="B82" s="786"/>
      <c r="C82" s="786"/>
      <c r="D82" s="897"/>
      <c r="E82" s="3637" t="s">
        <v>277</v>
      </c>
      <c r="F82" s="3638"/>
      <c r="G82" s="3638"/>
      <c r="H82" s="3638"/>
      <c r="I82" s="3638"/>
      <c r="J82" s="3638"/>
      <c r="K82" s="3638"/>
      <c r="L82" s="3638"/>
      <c r="M82" s="3638"/>
      <c r="N82" s="3638"/>
      <c r="O82" s="3639"/>
      <c r="P82" s="1049">
        <f>O83</f>
        <v>931104000</v>
      </c>
      <c r="Q82" s="1049">
        <v>1057894000</v>
      </c>
      <c r="R82" s="1050">
        <f>+P82-Q82</f>
        <v>-126790000</v>
      </c>
      <c r="S82" s="1051">
        <f>+R82/Q82</f>
        <v>-0.11985132725963092</v>
      </c>
    </row>
    <row r="83" spans="1:22" ht="14.25" customHeight="1">
      <c r="A83" s="778"/>
      <c r="B83" s="786"/>
      <c r="C83" s="786"/>
      <c r="D83" s="897"/>
      <c r="E83" s="844"/>
      <c r="F83" s="679" t="s">
        <v>1624</v>
      </c>
      <c r="G83" s="686"/>
      <c r="H83" s="679"/>
      <c r="I83" s="679"/>
      <c r="J83" s="679"/>
      <c r="K83" s="679"/>
      <c r="L83" s="679"/>
      <c r="M83" s="679"/>
      <c r="N83" s="687"/>
      <c r="O83" s="681">
        <f>SUM(O84:O84)</f>
        <v>931104000</v>
      </c>
      <c r="P83" s="653">
        <f>O83</f>
        <v>931104000</v>
      </c>
      <c r="Q83" s="653">
        <v>1057894000</v>
      </c>
      <c r="R83" s="654">
        <f>+P83-Q83</f>
        <v>-126790000</v>
      </c>
      <c r="S83" s="688">
        <f>+R83/Q83</f>
        <v>-0.11985132725963092</v>
      </c>
    </row>
    <row r="84" spans="1:22" ht="14.25" customHeight="1">
      <c r="A84" s="778"/>
      <c r="B84" s="786"/>
      <c r="C84" s="786"/>
      <c r="D84" s="897"/>
      <c r="E84" s="786"/>
      <c r="F84" s="1131" t="s">
        <v>1625</v>
      </c>
      <c r="G84" s="880">
        <v>931104000</v>
      </c>
      <c r="H84" s="691" t="s">
        <v>21</v>
      </c>
      <c r="I84" s="1132">
        <v>1</v>
      </c>
      <c r="J84" s="691"/>
      <c r="K84" s="881"/>
      <c r="L84" s="691"/>
      <c r="M84" s="691"/>
      <c r="N84" s="701" t="s">
        <v>22</v>
      </c>
      <c r="O84" s="882">
        <f>G84*I84</f>
        <v>931104000</v>
      </c>
      <c r="P84" s="694"/>
      <c r="Q84" s="694"/>
      <c r="R84" s="695"/>
      <c r="S84" s="1133"/>
    </row>
    <row r="85" spans="1:22" ht="14.25" customHeight="1">
      <c r="A85" s="778"/>
      <c r="B85" s="786"/>
      <c r="C85" s="786"/>
      <c r="D85" s="897"/>
      <c r="E85" s="3637" t="s">
        <v>414</v>
      </c>
      <c r="F85" s="3638"/>
      <c r="G85" s="3638"/>
      <c r="H85" s="3638"/>
      <c r="I85" s="3638"/>
      <c r="J85" s="3638"/>
      <c r="K85" s="3638"/>
      <c r="L85" s="3638"/>
      <c r="M85" s="3638"/>
      <c r="N85" s="3638"/>
      <c r="O85" s="3639"/>
      <c r="P85" s="645">
        <v>0</v>
      </c>
      <c r="Q85" s="645">
        <v>6000000</v>
      </c>
      <c r="R85" s="646">
        <f>+P85-Q85</f>
        <v>-6000000</v>
      </c>
      <c r="S85" s="647">
        <f>+R85/Q85</f>
        <v>-1</v>
      </c>
    </row>
    <row r="86" spans="1:22" ht="14.25" customHeight="1">
      <c r="A86" s="778"/>
      <c r="B86" s="786"/>
      <c r="C86" s="786"/>
      <c r="D86" s="635" t="s">
        <v>1954</v>
      </c>
      <c r="E86" s="634"/>
      <c r="F86" s="635"/>
      <c r="G86" s="636"/>
      <c r="H86" s="635"/>
      <c r="I86" s="635"/>
      <c r="J86" s="635"/>
      <c r="K86" s="635"/>
      <c r="L86" s="635"/>
      <c r="M86" s="635"/>
      <c r="N86" s="637"/>
      <c r="O86" s="635"/>
      <c r="P86" s="638">
        <f>P87</f>
        <v>50000000</v>
      </c>
      <c r="Q86" s="638">
        <f>Q87</f>
        <v>50000000</v>
      </c>
      <c r="R86" s="793">
        <f>+P86-Q86</f>
        <v>0</v>
      </c>
      <c r="S86" s="873">
        <f>+R86/Q86</f>
        <v>0</v>
      </c>
    </row>
    <row r="87" spans="1:22" ht="14.25" customHeight="1">
      <c r="A87" s="778"/>
      <c r="B87" s="786"/>
      <c r="C87" s="786"/>
      <c r="D87" s="897"/>
      <c r="E87" s="3637" t="s">
        <v>2866</v>
      </c>
      <c r="F87" s="3638"/>
      <c r="G87" s="3638"/>
      <c r="H87" s="3638"/>
      <c r="I87" s="3638"/>
      <c r="J87" s="3638"/>
      <c r="K87" s="3638"/>
      <c r="L87" s="3638"/>
      <c r="M87" s="3638"/>
      <c r="N87" s="3638"/>
      <c r="O87" s="3639"/>
      <c r="P87" s="1049">
        <f>ROUNDUP(O88,-3)</f>
        <v>50000000</v>
      </c>
      <c r="Q87" s="1049">
        <v>50000000</v>
      </c>
      <c r="R87" s="646">
        <f>+P87-Q87</f>
        <v>0</v>
      </c>
      <c r="S87" s="647">
        <f>+R87/Q87</f>
        <v>0</v>
      </c>
    </row>
    <row r="88" spans="1:22" ht="14.25" customHeight="1">
      <c r="A88" s="778"/>
      <c r="B88" s="786"/>
      <c r="C88" s="786"/>
      <c r="D88" s="792"/>
      <c r="E88" s="786"/>
      <c r="F88" s="1035" t="s">
        <v>415</v>
      </c>
      <c r="G88" s="1036"/>
      <c r="H88" s="1035"/>
      <c r="I88" s="1035"/>
      <c r="J88" s="1035"/>
      <c r="K88" s="1035"/>
      <c r="L88" s="1035"/>
      <c r="M88" s="1035"/>
      <c r="N88" s="1037"/>
      <c r="O88" s="1134">
        <f>SUM(O89:O89)</f>
        <v>50000000</v>
      </c>
      <c r="P88" s="1039">
        <f>O88</f>
        <v>50000000</v>
      </c>
      <c r="Q88" s="1039">
        <v>50000000</v>
      </c>
      <c r="R88" s="1040">
        <f>+P88-Q88</f>
        <v>0</v>
      </c>
      <c r="S88" s="1041">
        <f>+R88/Q88</f>
        <v>0</v>
      </c>
    </row>
    <row r="89" spans="1:22" ht="14.25" customHeight="1">
      <c r="A89" s="778"/>
      <c r="B89" s="846"/>
      <c r="C89" s="846"/>
      <c r="D89" s="780"/>
      <c r="E89" s="846"/>
      <c r="F89" s="892" t="s">
        <v>416</v>
      </c>
      <c r="G89" s="919">
        <v>50000000</v>
      </c>
      <c r="H89" s="863" t="s">
        <v>125</v>
      </c>
      <c r="I89" s="920">
        <v>1</v>
      </c>
      <c r="J89" s="863"/>
      <c r="K89" s="921"/>
      <c r="L89" s="863"/>
      <c r="M89" s="863"/>
      <c r="N89" s="865" t="s">
        <v>409</v>
      </c>
      <c r="O89" s="923">
        <f>G89*I89</f>
        <v>50000000</v>
      </c>
      <c r="P89" s="866"/>
      <c r="Q89" s="866"/>
      <c r="R89" s="924"/>
      <c r="S89" s="925"/>
    </row>
    <row r="90" spans="1:22" s="1137" customFormat="1" ht="15" customHeight="1">
      <c r="A90" s="778"/>
      <c r="B90" s="3707" t="s">
        <v>27</v>
      </c>
      <c r="C90" s="3708"/>
      <c r="D90" s="3708"/>
      <c r="E90" s="3708"/>
      <c r="F90" s="3708"/>
      <c r="G90" s="3708"/>
      <c r="H90" s="3708"/>
      <c r="I90" s="3708"/>
      <c r="J90" s="3708"/>
      <c r="K90" s="3708"/>
      <c r="L90" s="3708"/>
      <c r="M90" s="3708"/>
      <c r="N90" s="3708"/>
      <c r="O90" s="3709"/>
      <c r="P90" s="712">
        <f t="shared" ref="P90:R91" si="11">P91</f>
        <v>26150000</v>
      </c>
      <c r="Q90" s="712">
        <f t="shared" si="11"/>
        <v>0</v>
      </c>
      <c r="R90" s="713">
        <f t="shared" si="11"/>
        <v>26150000</v>
      </c>
      <c r="S90" s="714"/>
      <c r="U90" s="1138"/>
      <c r="V90" s="1138"/>
    </row>
    <row r="91" spans="1:22" s="1137" customFormat="1" ht="15" customHeight="1">
      <c r="A91" s="778"/>
      <c r="B91" s="1139"/>
      <c r="C91" s="3707" t="s">
        <v>28</v>
      </c>
      <c r="D91" s="3708"/>
      <c r="E91" s="3708"/>
      <c r="F91" s="3708"/>
      <c r="G91" s="3708"/>
      <c r="H91" s="3708"/>
      <c r="I91" s="3708"/>
      <c r="J91" s="3708"/>
      <c r="K91" s="3708"/>
      <c r="L91" s="3708"/>
      <c r="M91" s="3708"/>
      <c r="N91" s="3708"/>
      <c r="O91" s="3709"/>
      <c r="P91" s="1140">
        <f t="shared" si="11"/>
        <v>26150000</v>
      </c>
      <c r="Q91" s="1140">
        <f t="shared" si="11"/>
        <v>0</v>
      </c>
      <c r="R91" s="1141">
        <f t="shared" si="11"/>
        <v>26150000</v>
      </c>
      <c r="S91" s="1142"/>
      <c r="U91" s="1138"/>
      <c r="V91" s="1138"/>
    </row>
    <row r="92" spans="1:22" s="1137" customFormat="1" ht="15" customHeight="1">
      <c r="A92" s="1166"/>
      <c r="B92" s="1139"/>
      <c r="C92" s="1143"/>
      <c r="D92" s="1144" t="s">
        <v>29</v>
      </c>
      <c r="E92" s="3296"/>
      <c r="F92" s="1145"/>
      <c r="G92" s="1146"/>
      <c r="H92" s="1145"/>
      <c r="I92" s="1145"/>
      <c r="J92" s="1145"/>
      <c r="K92" s="1145"/>
      <c r="L92" s="1145"/>
      <c r="M92" s="1145"/>
      <c r="N92" s="1147"/>
      <c r="O92" s="1145"/>
      <c r="P92" s="1148">
        <f>SUM(P93)</f>
        <v>26150000</v>
      </c>
      <c r="Q92" s="1148">
        <f>SUM(Q93)</f>
        <v>0</v>
      </c>
      <c r="R92" s="1149">
        <f>+P92-Q92</f>
        <v>26150000</v>
      </c>
      <c r="S92" s="1150"/>
      <c r="U92" s="1138"/>
      <c r="V92" s="1138"/>
    </row>
    <row r="93" spans="1:22" s="1137" customFormat="1" ht="15" customHeight="1">
      <c r="A93" s="1166"/>
      <c r="B93" s="1139"/>
      <c r="C93" s="1143"/>
      <c r="D93" s="1167"/>
      <c r="E93" s="3637" t="s">
        <v>2988</v>
      </c>
      <c r="F93" s="3638"/>
      <c r="G93" s="3638"/>
      <c r="H93" s="3638"/>
      <c r="I93" s="3638"/>
      <c r="J93" s="3638"/>
      <c r="K93" s="3638"/>
      <c r="L93" s="3638"/>
      <c r="M93" s="3638"/>
      <c r="N93" s="3638"/>
      <c r="O93" s="3639"/>
      <c r="P93" s="1154">
        <f>O94</f>
        <v>26150000</v>
      </c>
      <c r="Q93" s="1154">
        <f>Q94</f>
        <v>0</v>
      </c>
      <c r="R93" s="1155">
        <f>+P93-Q93</f>
        <v>26150000</v>
      </c>
      <c r="S93" s="1156"/>
      <c r="U93" s="1138"/>
      <c r="V93" s="1138"/>
    </row>
    <row r="94" spans="1:22" s="1137" customFormat="1" ht="15" customHeight="1">
      <c r="A94" s="1166"/>
      <c r="B94" s="1139"/>
      <c r="C94" s="1168"/>
      <c r="D94" s="1139"/>
      <c r="E94" s="3377"/>
      <c r="F94" s="679" t="s">
        <v>1626</v>
      </c>
      <c r="G94" s="686"/>
      <c r="H94" s="679"/>
      <c r="I94" s="679"/>
      <c r="J94" s="679"/>
      <c r="K94" s="679"/>
      <c r="L94" s="679"/>
      <c r="M94" s="679"/>
      <c r="N94" s="687"/>
      <c r="O94" s="681">
        <f>SUM(O95)</f>
        <v>26150000</v>
      </c>
      <c r="P94" s="653">
        <f>O95</f>
        <v>26150000</v>
      </c>
      <c r="Q94" s="1039">
        <v>0</v>
      </c>
      <c r="R94" s="654">
        <f>+P94-Q94</f>
        <v>26150000</v>
      </c>
      <c r="S94" s="688"/>
      <c r="U94" s="1138"/>
      <c r="V94" s="1138"/>
    </row>
    <row r="95" spans="1:22" s="1137" customFormat="1" ht="15" customHeight="1" thickBot="1">
      <c r="A95" s="1169"/>
      <c r="B95" s="1170"/>
      <c r="C95" s="1171"/>
      <c r="D95" s="1170"/>
      <c r="E95" s="3415"/>
      <c r="F95" s="902" t="s">
        <v>1627</v>
      </c>
      <c r="G95" s="903">
        <v>26150000</v>
      </c>
      <c r="H95" s="1172" t="s">
        <v>21</v>
      </c>
      <c r="I95" s="1173">
        <v>1</v>
      </c>
      <c r="J95" s="904"/>
      <c r="K95" s="906"/>
      <c r="L95" s="904"/>
      <c r="M95" s="904"/>
      <c r="N95" s="907" t="s">
        <v>1041</v>
      </c>
      <c r="O95" s="908">
        <f>G95*I95</f>
        <v>26150000</v>
      </c>
      <c r="P95" s="909"/>
      <c r="Q95" s="1157"/>
      <c r="R95" s="910"/>
      <c r="S95" s="911"/>
      <c r="U95" s="1138"/>
      <c r="V95" s="1138"/>
    </row>
    <row r="96" spans="1:22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</sheetData>
  <mergeCells count="24">
    <mergeCell ref="E93:O93"/>
    <mergeCell ref="C91:O91"/>
    <mergeCell ref="D8:E8"/>
    <mergeCell ref="D77:E77"/>
    <mergeCell ref="A1:S1"/>
    <mergeCell ref="R2:S2"/>
    <mergeCell ref="A3:F3"/>
    <mergeCell ref="G3:O4"/>
    <mergeCell ref="P3:P4"/>
    <mergeCell ref="Q3:Q4"/>
    <mergeCell ref="R3:R4"/>
    <mergeCell ref="S3:S4"/>
    <mergeCell ref="E9:O9"/>
    <mergeCell ref="E45:O45"/>
    <mergeCell ref="E64:O64"/>
    <mergeCell ref="E67:O67"/>
    <mergeCell ref="C7:O7"/>
    <mergeCell ref="B90:O90"/>
    <mergeCell ref="B6:O6"/>
    <mergeCell ref="E82:O82"/>
    <mergeCell ref="E85:O85"/>
    <mergeCell ref="E87:O87"/>
    <mergeCell ref="E69:O69"/>
    <mergeCell ref="C76:O7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7" fitToHeight="0" orientation="landscape" r:id="rId1"/>
  <headerFooter scaleWithDoc="0"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99FF"/>
    <pageSetUpPr fitToPage="1"/>
  </sheetPr>
  <dimension ref="A1:Y95"/>
  <sheetViews>
    <sheetView view="pageBreakPreview" zoomScale="85" zoomScaleSheetLayoutView="85" workbookViewId="0">
      <pane xSplit="3" ySplit="6" topLeftCell="D7" activePane="bottomRight" state="frozen"/>
      <selection activeCell="O40" sqref="O39:O40"/>
      <selection pane="topRight" activeCell="O40" sqref="O39:O40"/>
      <selection pane="bottomLeft" activeCell="O40" sqref="O39:O40"/>
      <selection pane="bottomRight" activeCell="M2" sqref="M1:M1048576"/>
    </sheetView>
  </sheetViews>
  <sheetFormatPr defaultColWidth="9" defaultRowHeight="16.5"/>
  <cols>
    <col min="1" max="1" width="3.625" style="2951" customWidth="1"/>
    <col min="2" max="4" width="3.625" style="2963" customWidth="1"/>
    <col min="5" max="5" width="10.625" style="3421" customWidth="1"/>
    <col min="6" max="6" width="32.25" style="2951" customWidth="1"/>
    <col min="7" max="7" width="14.5" style="2964" bestFit="1" customWidth="1"/>
    <col min="8" max="8" width="2.125" style="2951" customWidth="1"/>
    <col min="9" max="9" width="5.75" style="2951" customWidth="1"/>
    <col min="10" max="10" width="2.125" style="2951" customWidth="1"/>
    <col min="11" max="11" width="7.75" style="2951" bestFit="1" customWidth="1"/>
    <col min="12" max="12" width="2.75" style="2951" customWidth="1"/>
    <col min="13" max="13" width="7.25" style="2951" customWidth="1"/>
    <col min="14" max="14" width="2.625" style="2965" customWidth="1"/>
    <col min="15" max="15" width="12.625" style="2951" customWidth="1"/>
    <col min="16" max="16" width="10.625" style="2966" customWidth="1"/>
    <col min="17" max="17" width="10.625" style="2967" customWidth="1"/>
    <col min="18" max="18" width="10.625" style="2968" customWidth="1"/>
    <col min="19" max="19" width="10.625" style="2969" customWidth="1"/>
    <col min="20" max="20" width="9" style="2951"/>
    <col min="21" max="21" width="11.875" style="2951" bestFit="1" customWidth="1"/>
    <col min="22" max="22" width="11.625" style="2951" bestFit="1" customWidth="1"/>
    <col min="23" max="23" width="11" style="2951" bestFit="1" customWidth="1"/>
    <col min="24" max="24" width="10.875" style="2951" bestFit="1" customWidth="1"/>
    <col min="25" max="16384" width="9" style="2951"/>
  </cols>
  <sheetData>
    <row r="1" spans="1:25" s="1176" customFormat="1" ht="35.1" customHeight="1">
      <c r="A1" s="3717" t="s">
        <v>2091</v>
      </c>
      <c r="B1" s="3717"/>
      <c r="C1" s="3717"/>
      <c r="D1" s="3717"/>
      <c r="E1" s="3717"/>
      <c r="F1" s="3717"/>
      <c r="G1" s="3717"/>
      <c r="H1" s="3717"/>
      <c r="I1" s="3717"/>
      <c r="J1" s="3717"/>
      <c r="K1" s="3717"/>
      <c r="L1" s="3717"/>
      <c r="M1" s="3717"/>
      <c r="N1" s="3717"/>
      <c r="O1" s="3717"/>
      <c r="P1" s="3717"/>
      <c r="Q1" s="3717"/>
      <c r="R1" s="3717"/>
      <c r="S1" s="3717"/>
    </row>
    <row r="2" spans="1:25" ht="15" customHeight="1" thickBot="1">
      <c r="A2" s="1176" t="s">
        <v>0</v>
      </c>
      <c r="B2" s="1177"/>
      <c r="C2" s="1177"/>
      <c r="D2" s="1177"/>
      <c r="E2" s="1224"/>
      <c r="F2" s="1176"/>
      <c r="G2" s="1178"/>
      <c r="H2" s="1176"/>
      <c r="I2" s="1176"/>
      <c r="J2" s="1176"/>
      <c r="K2" s="1176"/>
      <c r="L2" s="1176"/>
      <c r="M2" s="1176"/>
      <c r="N2" s="1179"/>
      <c r="O2" s="1176"/>
      <c r="P2" s="1180"/>
      <c r="Q2" s="1181"/>
      <c r="R2" s="3718" t="s">
        <v>1</v>
      </c>
      <c r="S2" s="3718"/>
    </row>
    <row r="3" spans="1:25" s="1179" customFormat="1" ht="15" customHeight="1">
      <c r="A3" s="3719" t="s">
        <v>2</v>
      </c>
      <c r="B3" s="3720"/>
      <c r="C3" s="3720"/>
      <c r="D3" s="3720"/>
      <c r="E3" s="3720"/>
      <c r="F3" s="1182"/>
      <c r="G3" s="3721" t="s">
        <v>3</v>
      </c>
      <c r="H3" s="3721"/>
      <c r="I3" s="3721"/>
      <c r="J3" s="3721"/>
      <c r="K3" s="3721"/>
      <c r="L3" s="3721"/>
      <c r="M3" s="3721"/>
      <c r="N3" s="3721"/>
      <c r="O3" s="3722"/>
      <c r="P3" s="3725" t="s">
        <v>4</v>
      </c>
      <c r="Q3" s="3727" t="s">
        <v>326</v>
      </c>
      <c r="R3" s="3729" t="s">
        <v>5</v>
      </c>
      <c r="S3" s="3731" t="s">
        <v>6</v>
      </c>
    </row>
    <row r="4" spans="1:25" s="1179" customFormat="1" ht="15" customHeight="1" thickBot="1">
      <c r="A4" s="1183" t="s">
        <v>7</v>
      </c>
      <c r="B4" s="1184" t="s">
        <v>8</v>
      </c>
      <c r="C4" s="1184" t="s">
        <v>9</v>
      </c>
      <c r="D4" s="1184" t="s">
        <v>10</v>
      </c>
      <c r="E4" s="1184" t="s">
        <v>11</v>
      </c>
      <c r="F4" s="1185" t="s">
        <v>12</v>
      </c>
      <c r="G4" s="3723"/>
      <c r="H4" s="3723"/>
      <c r="I4" s="3723"/>
      <c r="J4" s="3723"/>
      <c r="K4" s="3723"/>
      <c r="L4" s="3723"/>
      <c r="M4" s="3723"/>
      <c r="N4" s="3723"/>
      <c r="O4" s="3724"/>
      <c r="P4" s="3726"/>
      <c r="Q4" s="3728"/>
      <c r="R4" s="3730"/>
      <c r="S4" s="3732"/>
      <c r="X4" s="2952"/>
    </row>
    <row r="5" spans="1:25" s="1176" customFormat="1" ht="15" customHeight="1" thickBot="1">
      <c r="A5" s="1186" t="s">
        <v>438</v>
      </c>
      <c r="B5" s="1187"/>
      <c r="C5" s="1188"/>
      <c r="D5" s="1188"/>
      <c r="E5" s="1188"/>
      <c r="F5" s="1188"/>
      <c r="G5" s="1189"/>
      <c r="H5" s="1188"/>
      <c r="I5" s="1188"/>
      <c r="J5" s="1188"/>
      <c r="K5" s="1188"/>
      <c r="L5" s="1188"/>
      <c r="M5" s="1188"/>
      <c r="N5" s="1190"/>
      <c r="O5" s="1188"/>
      <c r="P5" s="1191">
        <f>P6+P23</f>
        <v>424075000</v>
      </c>
      <c r="Q5" s="1191">
        <f>Q6</f>
        <v>1115590000</v>
      </c>
      <c r="R5" s="1192">
        <f t="shared" ref="R5:R10" si="0">+P5-Q5</f>
        <v>-691515000</v>
      </c>
      <c r="S5" s="1193">
        <f t="shared" ref="S5:S10" si="1">+R5/Q5</f>
        <v>-0.61986482489086492</v>
      </c>
      <c r="W5" s="2953"/>
    </row>
    <row r="6" spans="1:25" s="1176" customFormat="1" ht="15" customHeight="1">
      <c r="A6" s="1194"/>
      <c r="B6" s="3657" t="s">
        <v>3182</v>
      </c>
      <c r="C6" s="3658"/>
      <c r="D6" s="3658"/>
      <c r="E6" s="3658"/>
      <c r="F6" s="3658"/>
      <c r="G6" s="3658"/>
      <c r="H6" s="3658"/>
      <c r="I6" s="3658"/>
      <c r="J6" s="3658"/>
      <c r="K6" s="3658"/>
      <c r="L6" s="3658"/>
      <c r="M6" s="3658"/>
      <c r="N6" s="3658"/>
      <c r="O6" s="3659"/>
      <c r="P6" s="1195">
        <f>P7+P14</f>
        <v>416455000</v>
      </c>
      <c r="Q6" s="1195">
        <f>Q7+Q14</f>
        <v>1115590000</v>
      </c>
      <c r="R6" s="1196">
        <f t="shared" si="0"/>
        <v>-699135000</v>
      </c>
      <c r="S6" s="1197">
        <f t="shared" si="1"/>
        <v>-0.62669529128084689</v>
      </c>
      <c r="U6" s="1176">
        <v>426475000</v>
      </c>
      <c r="Y6" s="2953"/>
    </row>
    <row r="7" spans="1:25" s="1176" customFormat="1" ht="15" customHeight="1">
      <c r="A7" s="1194"/>
      <c r="B7" s="1198"/>
      <c r="C7" s="3714" t="s">
        <v>439</v>
      </c>
      <c r="D7" s="3715"/>
      <c r="E7" s="3715"/>
      <c r="F7" s="3715"/>
      <c r="G7" s="3715"/>
      <c r="H7" s="3715"/>
      <c r="I7" s="3715"/>
      <c r="J7" s="3715"/>
      <c r="K7" s="3715"/>
      <c r="L7" s="3715"/>
      <c r="M7" s="3715"/>
      <c r="N7" s="3715"/>
      <c r="O7" s="3716"/>
      <c r="P7" s="1199">
        <f>SUM(P8)</f>
        <v>40483000</v>
      </c>
      <c r="Q7" s="1199">
        <f>SUM(Q8)</f>
        <v>20160000</v>
      </c>
      <c r="R7" s="1196">
        <f t="shared" si="0"/>
        <v>20323000</v>
      </c>
      <c r="S7" s="1197">
        <f t="shared" si="1"/>
        <v>1.0080853174603175</v>
      </c>
    </row>
    <row r="8" spans="1:25" s="1176" customFormat="1" ht="15" customHeight="1">
      <c r="A8" s="1194"/>
      <c r="B8" s="1200"/>
      <c r="C8" s="573"/>
      <c r="D8" s="1201" t="s">
        <v>26</v>
      </c>
      <c r="E8" s="3417"/>
      <c r="F8" s="1202"/>
      <c r="G8" s="1203"/>
      <c r="H8" s="1202"/>
      <c r="I8" s="1202"/>
      <c r="J8" s="1202"/>
      <c r="K8" s="1202"/>
      <c r="L8" s="1202"/>
      <c r="M8" s="1202"/>
      <c r="N8" s="1204"/>
      <c r="O8" s="1202"/>
      <c r="P8" s="1205">
        <f>P9</f>
        <v>40483000</v>
      </c>
      <c r="Q8" s="1205">
        <f>Q9</f>
        <v>20160000</v>
      </c>
      <c r="R8" s="1206">
        <f t="shared" si="0"/>
        <v>20323000</v>
      </c>
      <c r="S8" s="1207">
        <f t="shared" si="1"/>
        <v>1.0080853174603175</v>
      </c>
    </row>
    <row r="9" spans="1:25" ht="15" customHeight="1">
      <c r="A9" s="1194"/>
      <c r="B9" s="1200"/>
      <c r="C9" s="573"/>
      <c r="D9" s="1208"/>
      <c r="E9" s="3637" t="s">
        <v>2989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1209">
        <f>ROUNDUP((O10),-3)</f>
        <v>40483000</v>
      </c>
      <c r="Q9" s="1209">
        <v>20160000</v>
      </c>
      <c r="R9" s="1210">
        <f t="shared" si="0"/>
        <v>20323000</v>
      </c>
      <c r="S9" s="1211">
        <f t="shared" si="1"/>
        <v>1.0080853174603175</v>
      </c>
      <c r="U9" s="2954"/>
      <c r="V9" s="2955"/>
    </row>
    <row r="10" spans="1:25" ht="15" customHeight="1">
      <c r="A10" s="1194"/>
      <c r="B10" s="1200"/>
      <c r="C10" s="573"/>
      <c r="D10" s="1208"/>
      <c r="E10" s="1200"/>
      <c r="F10" s="679" t="s">
        <v>440</v>
      </c>
      <c r="G10" s="1212"/>
      <c r="H10" s="679"/>
      <c r="I10" s="874"/>
      <c r="J10" s="679"/>
      <c r="K10" s="913"/>
      <c r="L10" s="679"/>
      <c r="M10" s="1213"/>
      <c r="N10" s="687"/>
      <c r="O10" s="681">
        <f>SUM(O11:O13)</f>
        <v>40483000</v>
      </c>
      <c r="P10" s="653">
        <f>O10</f>
        <v>40483000</v>
      </c>
      <c r="Q10" s="1214">
        <v>20160000</v>
      </c>
      <c r="R10" s="1215">
        <f t="shared" si="0"/>
        <v>20323000</v>
      </c>
      <c r="S10" s="1216">
        <f t="shared" si="1"/>
        <v>1.0080853174603175</v>
      </c>
      <c r="U10" s="2954"/>
      <c r="V10" s="2955"/>
    </row>
    <row r="11" spans="1:25" ht="15" customHeight="1">
      <c r="A11" s="1194"/>
      <c r="B11" s="1200"/>
      <c r="C11" s="573"/>
      <c r="D11" s="1208"/>
      <c r="E11" s="1200"/>
      <c r="F11" s="697" t="s">
        <v>441</v>
      </c>
      <c r="G11" s="880">
        <v>30000</v>
      </c>
      <c r="H11" s="691" t="s">
        <v>21</v>
      </c>
      <c r="I11" s="876">
        <v>20</v>
      </c>
      <c r="J11" s="691" t="s">
        <v>21</v>
      </c>
      <c r="K11" s="1217">
        <v>4</v>
      </c>
      <c r="L11" s="691" t="s">
        <v>21</v>
      </c>
      <c r="M11" s="1218">
        <v>12</v>
      </c>
      <c r="N11" s="701" t="s">
        <v>22</v>
      </c>
      <c r="O11" s="882">
        <f>+G11*I11*K11*M11</f>
        <v>28800000</v>
      </c>
      <c r="P11" s="1219"/>
      <c r="Q11" s="1219"/>
      <c r="R11" s="1220"/>
      <c r="S11" s="1221"/>
      <c r="U11" s="2956"/>
      <c r="V11" s="2955"/>
      <c r="W11" s="2957"/>
    </row>
    <row r="12" spans="1:25" ht="15" customHeight="1">
      <c r="A12" s="1194"/>
      <c r="B12" s="1200"/>
      <c r="C12" s="573"/>
      <c r="D12" s="1208"/>
      <c r="E12" s="1200"/>
      <c r="F12" s="697" t="s">
        <v>442</v>
      </c>
      <c r="G12" s="880">
        <v>10000</v>
      </c>
      <c r="H12" s="691" t="s">
        <v>21</v>
      </c>
      <c r="I12" s="876">
        <v>9</v>
      </c>
      <c r="J12" s="691" t="s">
        <v>21</v>
      </c>
      <c r="K12" s="1218">
        <v>12</v>
      </c>
      <c r="L12" s="691"/>
      <c r="M12" s="1222"/>
      <c r="N12" s="701" t="s">
        <v>22</v>
      </c>
      <c r="O12" s="882">
        <f>+G12*I12*K12</f>
        <v>1080000</v>
      </c>
      <c r="P12" s="1219"/>
      <c r="Q12" s="1219"/>
      <c r="R12" s="1220"/>
      <c r="S12" s="1221"/>
      <c r="U12" s="2956"/>
      <c r="V12" s="2955"/>
      <c r="X12" s="2958"/>
    </row>
    <row r="13" spans="1:25" ht="15" customHeight="1">
      <c r="A13" s="1194"/>
      <c r="B13" s="1200"/>
      <c r="C13" s="573"/>
      <c r="D13" s="1208"/>
      <c r="E13" s="1200"/>
      <c r="F13" s="697" t="s">
        <v>1628</v>
      </c>
      <c r="G13" s="880">
        <v>67968</v>
      </c>
      <c r="H13" s="691" t="s">
        <v>21</v>
      </c>
      <c r="I13" s="877">
        <v>13</v>
      </c>
      <c r="J13" s="691" t="s">
        <v>21</v>
      </c>
      <c r="K13" s="1218">
        <v>12</v>
      </c>
      <c r="L13" s="691"/>
      <c r="M13" s="1222"/>
      <c r="N13" s="701" t="s">
        <v>22</v>
      </c>
      <c r="O13" s="882">
        <f>ROUNDDOWN(G13*I13*K13,-3)</f>
        <v>10603000</v>
      </c>
      <c r="P13" s="1219"/>
      <c r="Q13" s="1219"/>
      <c r="R13" s="1220"/>
      <c r="S13" s="1221"/>
      <c r="T13" s="1176"/>
      <c r="U13" s="2956"/>
      <c r="V13" s="2955"/>
    </row>
    <row r="14" spans="1:25" s="1176" customFormat="1" ht="15" customHeight="1">
      <c r="A14" s="1194"/>
      <c r="B14" s="1200"/>
      <c r="C14" s="3714" t="s">
        <v>15</v>
      </c>
      <c r="D14" s="3715"/>
      <c r="E14" s="3715"/>
      <c r="F14" s="3715"/>
      <c r="G14" s="3715"/>
      <c r="H14" s="3715"/>
      <c r="I14" s="3715"/>
      <c r="J14" s="3715"/>
      <c r="K14" s="3715"/>
      <c r="L14" s="3715"/>
      <c r="M14" s="3715"/>
      <c r="N14" s="3715"/>
      <c r="O14" s="3716"/>
      <c r="P14" s="1199">
        <f>P15+P19</f>
        <v>375972000</v>
      </c>
      <c r="Q14" s="1199">
        <f>Q15+Q19</f>
        <v>1095430000</v>
      </c>
      <c r="R14" s="1196">
        <f>+P14-Q14</f>
        <v>-719458000</v>
      </c>
      <c r="S14" s="1197">
        <f>+R14/Q14</f>
        <v>-0.65678135526688153</v>
      </c>
      <c r="U14" s="2959"/>
      <c r="V14" s="2953"/>
    </row>
    <row r="15" spans="1:25" s="1176" customFormat="1" ht="15" customHeight="1">
      <c r="A15" s="1194"/>
      <c r="B15" s="1200"/>
      <c r="C15" s="573"/>
      <c r="D15" s="1201" t="s">
        <v>17</v>
      </c>
      <c r="E15" s="3417"/>
      <c r="F15" s="1202"/>
      <c r="G15" s="1203"/>
      <c r="H15" s="1202"/>
      <c r="I15" s="1202"/>
      <c r="J15" s="1202"/>
      <c r="K15" s="1202"/>
      <c r="L15" s="1202"/>
      <c r="M15" s="1202"/>
      <c r="N15" s="1204"/>
      <c r="O15" s="1202"/>
      <c r="P15" s="1205">
        <f>P16</f>
        <v>24000</v>
      </c>
      <c r="Q15" s="1205">
        <f>Q16</f>
        <v>24000</v>
      </c>
      <c r="R15" s="1206">
        <f>+P15-Q15</f>
        <v>0</v>
      </c>
      <c r="S15" s="1207">
        <f>+R15/Q15</f>
        <v>0</v>
      </c>
      <c r="T15" s="2951"/>
      <c r="U15" s="2959"/>
      <c r="V15" s="2953"/>
    </row>
    <row r="16" spans="1:25" ht="15" customHeight="1">
      <c r="A16" s="1194"/>
      <c r="B16" s="1200"/>
      <c r="C16" s="573"/>
      <c r="D16" s="1198"/>
      <c r="E16" s="3637" t="s">
        <v>2990</v>
      </c>
      <c r="F16" s="3638"/>
      <c r="G16" s="3638"/>
      <c r="H16" s="3638"/>
      <c r="I16" s="3638"/>
      <c r="J16" s="3638"/>
      <c r="K16" s="3638"/>
      <c r="L16" s="3638"/>
      <c r="M16" s="3638"/>
      <c r="N16" s="3638"/>
      <c r="O16" s="3639"/>
      <c r="P16" s="1209">
        <f>ROUNDUP(O17,-3)</f>
        <v>24000</v>
      </c>
      <c r="Q16" s="1209">
        <v>24000</v>
      </c>
      <c r="R16" s="1210">
        <f>+P16-Q16</f>
        <v>0</v>
      </c>
      <c r="S16" s="1211">
        <f>+R16/Q16</f>
        <v>0</v>
      </c>
      <c r="U16" s="2956"/>
      <c r="V16" s="2955"/>
    </row>
    <row r="17" spans="1:23" ht="15" customHeight="1">
      <c r="A17" s="1194"/>
      <c r="B17" s="1200"/>
      <c r="C17" s="1223"/>
      <c r="D17" s="1200"/>
      <c r="E17" s="3416"/>
      <c r="F17" s="679" t="s">
        <v>19</v>
      </c>
      <c r="G17" s="686"/>
      <c r="H17" s="679"/>
      <c r="I17" s="679"/>
      <c r="J17" s="679"/>
      <c r="K17" s="679"/>
      <c r="L17" s="679"/>
      <c r="M17" s="679"/>
      <c r="N17" s="687"/>
      <c r="O17" s="681">
        <f>SUM(O18:O18)</f>
        <v>24000</v>
      </c>
      <c r="P17" s="1214">
        <v>24000</v>
      </c>
      <c r="Q17" s="1214">
        <v>24000</v>
      </c>
      <c r="R17" s="1215">
        <f>+P17-Q17</f>
        <v>0</v>
      </c>
      <c r="S17" s="1216">
        <f>+R17/Q17</f>
        <v>0</v>
      </c>
      <c r="U17" s="2956"/>
      <c r="V17" s="2955"/>
      <c r="W17" s="2960"/>
    </row>
    <row r="18" spans="1:23" ht="15" customHeight="1">
      <c r="A18" s="1194"/>
      <c r="B18" s="1200"/>
      <c r="C18" s="1223"/>
      <c r="D18" s="1225"/>
      <c r="E18" s="3418"/>
      <c r="F18" s="697" t="s">
        <v>20</v>
      </c>
      <c r="G18" s="880">
        <v>24000</v>
      </c>
      <c r="H18" s="691" t="s">
        <v>21</v>
      </c>
      <c r="I18" s="883">
        <v>1</v>
      </c>
      <c r="J18" s="691"/>
      <c r="K18" s="1222"/>
      <c r="L18" s="691"/>
      <c r="M18" s="691"/>
      <c r="N18" s="701" t="s">
        <v>22</v>
      </c>
      <c r="O18" s="882">
        <f>ROUNDUP(G18*I18,-3)</f>
        <v>24000</v>
      </c>
      <c r="P18" s="1219"/>
      <c r="Q18" s="1219"/>
      <c r="R18" s="1220"/>
      <c r="S18" s="1221"/>
      <c r="T18" s="1176"/>
      <c r="U18" s="2956"/>
      <c r="V18" s="2955"/>
    </row>
    <row r="19" spans="1:23" s="1176" customFormat="1" ht="15" customHeight="1">
      <c r="A19" s="1194"/>
      <c r="B19" s="1200"/>
      <c r="C19" s="573"/>
      <c r="D19" s="1201" t="s">
        <v>23</v>
      </c>
      <c r="E19" s="3417"/>
      <c r="F19" s="1202"/>
      <c r="G19" s="1203"/>
      <c r="H19" s="1202"/>
      <c r="I19" s="1202"/>
      <c r="J19" s="1202"/>
      <c r="K19" s="1202"/>
      <c r="L19" s="1202"/>
      <c r="M19" s="1202"/>
      <c r="N19" s="1204"/>
      <c r="O19" s="1202"/>
      <c r="P19" s="1205">
        <f>P20</f>
        <v>375948000</v>
      </c>
      <c r="Q19" s="1205">
        <f>Q20</f>
        <v>1095406000</v>
      </c>
      <c r="R19" s="1206">
        <f>+P19-Q19</f>
        <v>-719458000</v>
      </c>
      <c r="S19" s="1207">
        <f>+R19/Q19</f>
        <v>-0.65679574513924521</v>
      </c>
      <c r="T19" s="2951"/>
      <c r="U19" s="2959"/>
      <c r="V19" s="2953"/>
    </row>
    <row r="20" spans="1:23" ht="15" customHeight="1">
      <c r="A20" s="1194"/>
      <c r="B20" s="1200"/>
      <c r="C20" s="573"/>
      <c r="D20" s="1198"/>
      <c r="E20" s="3637" t="s">
        <v>2991</v>
      </c>
      <c r="F20" s="3638"/>
      <c r="G20" s="3638"/>
      <c r="H20" s="3638"/>
      <c r="I20" s="3638"/>
      <c r="J20" s="3638"/>
      <c r="K20" s="3638"/>
      <c r="L20" s="3638"/>
      <c r="M20" s="3638"/>
      <c r="N20" s="3638"/>
      <c r="O20" s="3639"/>
      <c r="P20" s="1209">
        <f>O21</f>
        <v>375948000</v>
      </c>
      <c r="Q20" s="1209">
        <v>1095406000</v>
      </c>
      <c r="R20" s="1210">
        <f>+P20-Q20</f>
        <v>-719458000</v>
      </c>
      <c r="S20" s="1211">
        <f>+R20/Q20</f>
        <v>-0.65679574513924521</v>
      </c>
      <c r="U20" s="2956"/>
      <c r="V20" s="2955"/>
    </row>
    <row r="21" spans="1:23" ht="15" customHeight="1">
      <c r="A21" s="1194"/>
      <c r="B21" s="1200"/>
      <c r="C21" s="573"/>
      <c r="D21" s="1200"/>
      <c r="E21" s="3419"/>
      <c r="F21" s="1227" t="s">
        <v>443</v>
      </c>
      <c r="G21" s="1228"/>
      <c r="H21" s="1227"/>
      <c r="I21" s="1227"/>
      <c r="J21" s="1227"/>
      <c r="K21" s="1227"/>
      <c r="L21" s="1227"/>
      <c r="M21" s="1227"/>
      <c r="N21" s="1229"/>
      <c r="O21" s="1230">
        <f>SUM(O22:O22)</f>
        <v>375948000</v>
      </c>
      <c r="P21" s="1231">
        <f>O21</f>
        <v>375948000</v>
      </c>
      <c r="Q21" s="1231">
        <v>1095406000</v>
      </c>
      <c r="R21" s="1232">
        <f>+P21-Q21</f>
        <v>-719458000</v>
      </c>
      <c r="S21" s="1233">
        <f>+R21/Q21</f>
        <v>-0.65679574513924521</v>
      </c>
      <c r="U21" s="2956"/>
      <c r="V21" s="2955"/>
      <c r="W21" s="2958"/>
    </row>
    <row r="22" spans="1:23" ht="15" customHeight="1">
      <c r="A22" s="1194"/>
      <c r="B22" s="1200"/>
      <c r="C22" s="573"/>
      <c r="D22" s="1200"/>
      <c r="E22" s="3416"/>
      <c r="F22" s="1226" t="s">
        <v>444</v>
      </c>
      <c r="G22" s="1234">
        <v>375948000</v>
      </c>
      <c r="H22" s="1224" t="s">
        <v>21</v>
      </c>
      <c r="I22" s="1235">
        <v>1</v>
      </c>
      <c r="J22" s="1224"/>
      <c r="K22" s="1236"/>
      <c r="L22" s="1224"/>
      <c r="M22" s="1224"/>
      <c r="N22" s="1237" t="s">
        <v>22</v>
      </c>
      <c r="O22" s="1238">
        <f>G22</f>
        <v>375948000</v>
      </c>
      <c r="P22" s="1219"/>
      <c r="Q22" s="1219"/>
      <c r="R22" s="1220"/>
      <c r="S22" s="1221"/>
      <c r="U22" s="2956"/>
      <c r="V22" s="2955"/>
    </row>
    <row r="23" spans="1:23" s="930" customFormat="1" ht="15" customHeight="1">
      <c r="A23" s="617"/>
      <c r="B23" s="3657" t="s">
        <v>174</v>
      </c>
      <c r="C23" s="3658"/>
      <c r="D23" s="3658"/>
      <c r="E23" s="3658"/>
      <c r="F23" s="3658"/>
      <c r="G23" s="3658"/>
      <c r="H23" s="3658"/>
      <c r="I23" s="3658"/>
      <c r="J23" s="3658"/>
      <c r="K23" s="3658"/>
      <c r="L23" s="3658"/>
      <c r="M23" s="3658"/>
      <c r="N23" s="3658"/>
      <c r="O23" s="3659"/>
      <c r="P23" s="631">
        <f>P24</f>
        <v>7620000</v>
      </c>
      <c r="Q23" s="631">
        <f>+Q24</f>
        <v>0</v>
      </c>
      <c r="R23" s="764">
        <f>+P23-Q23</f>
        <v>7620000</v>
      </c>
      <c r="S23" s="765"/>
      <c r="T23" s="2951"/>
      <c r="U23" s="2961"/>
      <c r="V23" s="1651"/>
    </row>
    <row r="24" spans="1:23" s="932" customFormat="1" ht="15" customHeight="1">
      <c r="A24" s="617"/>
      <c r="B24" s="632"/>
      <c r="C24" s="3714" t="s">
        <v>175</v>
      </c>
      <c r="D24" s="3715"/>
      <c r="E24" s="3715"/>
      <c r="F24" s="3715"/>
      <c r="G24" s="3715"/>
      <c r="H24" s="3715"/>
      <c r="I24" s="3715"/>
      <c r="J24" s="3715"/>
      <c r="K24" s="3715"/>
      <c r="L24" s="3715"/>
      <c r="M24" s="3715"/>
      <c r="N24" s="3715"/>
      <c r="O24" s="3716"/>
      <c r="P24" s="631">
        <f>P25</f>
        <v>7620000</v>
      </c>
      <c r="Q24" s="631">
        <f>+Q25</f>
        <v>0</v>
      </c>
      <c r="R24" s="764">
        <f>+P24-Q24</f>
        <v>7620000</v>
      </c>
      <c r="S24" s="765"/>
      <c r="U24" s="2962"/>
    </row>
    <row r="25" spans="1:23" s="932" customFormat="1" ht="15" customHeight="1">
      <c r="A25" s="617"/>
      <c r="B25" s="632"/>
      <c r="C25" s="725"/>
      <c r="D25" s="684" t="s">
        <v>176</v>
      </c>
      <c r="E25" s="2229"/>
      <c r="F25" s="635"/>
      <c r="G25" s="636"/>
      <c r="H25" s="635"/>
      <c r="I25" s="635"/>
      <c r="J25" s="635"/>
      <c r="K25" s="635"/>
      <c r="L25" s="635"/>
      <c r="M25" s="635"/>
      <c r="N25" s="637"/>
      <c r="O25" s="636"/>
      <c r="P25" s="638">
        <f>SUM(P26)</f>
        <v>7620000</v>
      </c>
      <c r="Q25" s="638">
        <f>+Q26</f>
        <v>0</v>
      </c>
      <c r="R25" s="793">
        <f>+P25-Q25</f>
        <v>7620000</v>
      </c>
      <c r="S25" s="873"/>
      <c r="U25" s="2962"/>
    </row>
    <row r="26" spans="1:23" s="932" customFormat="1" ht="15" customHeight="1">
      <c r="A26" s="617"/>
      <c r="B26" s="632"/>
      <c r="C26" s="725"/>
      <c r="D26" s="626"/>
      <c r="E26" s="3637" t="s">
        <v>2992</v>
      </c>
      <c r="F26" s="3638"/>
      <c r="G26" s="3638"/>
      <c r="H26" s="3638"/>
      <c r="I26" s="3638"/>
      <c r="J26" s="3638"/>
      <c r="K26" s="3638"/>
      <c r="L26" s="3638"/>
      <c r="M26" s="3638"/>
      <c r="N26" s="3638"/>
      <c r="O26" s="3639"/>
      <c r="P26" s="645">
        <f>O27</f>
        <v>7620000</v>
      </c>
      <c r="Q26" s="645">
        <v>0</v>
      </c>
      <c r="R26" s="646">
        <f>+P26-Q26</f>
        <v>7620000</v>
      </c>
      <c r="S26" s="647"/>
      <c r="U26" s="2962"/>
    </row>
    <row r="27" spans="1:23" s="932" customFormat="1" ht="15" customHeight="1">
      <c r="A27" s="617"/>
      <c r="B27" s="632"/>
      <c r="C27" s="719"/>
      <c r="D27" s="632"/>
      <c r="E27" s="3377"/>
      <c r="F27" s="679" t="s">
        <v>1629</v>
      </c>
      <c r="G27" s="686"/>
      <c r="H27" s="679"/>
      <c r="I27" s="679"/>
      <c r="J27" s="679"/>
      <c r="K27" s="679"/>
      <c r="L27" s="679"/>
      <c r="M27" s="679"/>
      <c r="N27" s="955"/>
      <c r="O27" s="681">
        <f>SUM(O28)</f>
        <v>7620000</v>
      </c>
      <c r="P27" s="653">
        <f>O27</f>
        <v>7620000</v>
      </c>
      <c r="Q27" s="653">
        <v>0</v>
      </c>
      <c r="R27" s="654">
        <f>+P27-Q27</f>
        <v>7620000</v>
      </c>
      <c r="S27" s="688"/>
      <c r="U27" s="2962"/>
    </row>
    <row r="28" spans="1:23" s="932" customFormat="1" ht="15" customHeight="1" thickBot="1">
      <c r="A28" s="766"/>
      <c r="B28" s="767"/>
      <c r="C28" s="600"/>
      <c r="D28" s="767"/>
      <c r="E28" s="3415"/>
      <c r="F28" s="902" t="s">
        <v>2039</v>
      </c>
      <c r="G28" s="903">
        <v>7620000</v>
      </c>
      <c r="H28" s="1239" t="s">
        <v>21</v>
      </c>
      <c r="I28" s="905">
        <v>1</v>
      </c>
      <c r="J28" s="904"/>
      <c r="K28" s="906"/>
      <c r="L28" s="904"/>
      <c r="M28" s="904"/>
      <c r="N28" s="907" t="s">
        <v>1630</v>
      </c>
      <c r="O28" s="908">
        <v>7620000</v>
      </c>
      <c r="P28" s="909"/>
      <c r="Q28" s="909"/>
      <c r="R28" s="910"/>
      <c r="S28" s="911"/>
      <c r="U28" s="933"/>
    </row>
    <row r="29" spans="1:23" ht="12" customHeight="1">
      <c r="U29" s="2954"/>
    </row>
    <row r="30" spans="1:23" ht="12" customHeight="1"/>
    <row r="31" spans="1:23" ht="12" customHeight="1"/>
    <row r="32" spans="1:23" ht="12" customHeight="1"/>
    <row r="33" spans="14:14" ht="12" customHeight="1"/>
    <row r="34" spans="14:14" ht="12" customHeight="1"/>
    <row r="35" spans="14:14" ht="12" customHeight="1"/>
    <row r="36" spans="14:14" ht="12" customHeight="1"/>
    <row r="37" spans="14:14" ht="12" customHeight="1"/>
    <row r="38" spans="14:14" ht="12" customHeight="1"/>
    <row r="39" spans="14:14" ht="12" customHeight="1"/>
    <row r="40" spans="14:14" ht="12" customHeight="1"/>
    <row r="41" spans="14:14" ht="12" customHeight="1"/>
    <row r="42" spans="14:14" ht="12" customHeight="1"/>
    <row r="43" spans="14:14" ht="12" customHeight="1"/>
    <row r="44" spans="14:14" ht="12" customHeight="1"/>
    <row r="45" spans="14:14" ht="12" customHeight="1"/>
    <row r="46" spans="14:14" ht="12" customHeight="1">
      <c r="N46" s="3459"/>
    </row>
    <row r="47" spans="14:14" ht="12" customHeight="1"/>
    <row r="48" spans="14:14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</sheetData>
  <mergeCells count="17">
    <mergeCell ref="A1:S1"/>
    <mergeCell ref="R2:S2"/>
    <mergeCell ref="A3:E3"/>
    <mergeCell ref="G3:O4"/>
    <mergeCell ref="P3:P4"/>
    <mergeCell ref="Q3:Q4"/>
    <mergeCell ref="R3:R4"/>
    <mergeCell ref="S3:S4"/>
    <mergeCell ref="E26:O26"/>
    <mergeCell ref="B23:O23"/>
    <mergeCell ref="B6:O6"/>
    <mergeCell ref="C7:O7"/>
    <mergeCell ref="C14:O14"/>
    <mergeCell ref="C24:O24"/>
    <mergeCell ref="E9:O9"/>
    <mergeCell ref="E16:O16"/>
    <mergeCell ref="E20:O2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fitToHeight="0" orientation="landscape" r:id="rId1"/>
  <headerFooter scaleWithDoc="0"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99FF"/>
    <pageSetUpPr fitToPage="1"/>
  </sheetPr>
  <dimension ref="A1:U112"/>
  <sheetViews>
    <sheetView view="pageBreakPreview" zoomScale="85" zoomScaleNormal="85" zoomScaleSheetLayoutView="85" workbookViewId="0">
      <selection activeCell="F40" sqref="F40"/>
    </sheetView>
  </sheetViews>
  <sheetFormatPr defaultColWidth="9" defaultRowHeight="16.5"/>
  <cols>
    <col min="1" max="1" width="3.625" style="128" customWidth="1"/>
    <col min="2" max="3" width="3.625" style="839" customWidth="1"/>
    <col min="4" max="4" width="3.5" style="839" customWidth="1"/>
    <col min="5" max="5" width="10.625" style="3410" customWidth="1"/>
    <col min="6" max="6" width="20.75" style="128" customWidth="1"/>
    <col min="7" max="7" width="14.5" style="840" bestFit="1" customWidth="1"/>
    <col min="8" max="8" width="2.125" style="128" customWidth="1"/>
    <col min="9" max="9" width="5.875" style="128" bestFit="1" customWidth="1"/>
    <col min="10" max="10" width="2.125" style="128" customWidth="1"/>
    <col min="11" max="11" width="5.875" style="128" bestFit="1" customWidth="1"/>
    <col min="12" max="12" width="2.75" style="128" customWidth="1"/>
    <col min="13" max="13" width="4.75" style="128" bestFit="1" customWidth="1"/>
    <col min="14" max="14" width="2.625" style="841" customWidth="1"/>
    <col min="15" max="15" width="12.625" style="128" customWidth="1"/>
    <col min="16" max="17" width="12" style="842" customWidth="1"/>
    <col min="18" max="18" width="12" style="1174" customWidth="1"/>
    <col min="19" max="19" width="10.625" style="1175" customWidth="1"/>
    <col min="20" max="20" width="9" style="128"/>
    <col min="21" max="21" width="11.625" style="128" bestFit="1" customWidth="1"/>
    <col min="22" max="16384" width="9" style="128"/>
  </cols>
  <sheetData>
    <row r="1" spans="1:21" ht="35.1" customHeight="1">
      <c r="A1" s="3679" t="s">
        <v>2092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</row>
    <row r="2" spans="1:21" ht="15" customHeight="1" thickBot="1">
      <c r="A2" s="128" t="s">
        <v>482</v>
      </c>
      <c r="E2" s="845"/>
      <c r="R2" s="3733" t="s">
        <v>483</v>
      </c>
      <c r="S2" s="3733"/>
    </row>
    <row r="3" spans="1:21" s="841" customFormat="1" ht="14.45" customHeight="1">
      <c r="A3" s="3693" t="s">
        <v>353</v>
      </c>
      <c r="B3" s="3694"/>
      <c r="C3" s="3694"/>
      <c r="D3" s="3694"/>
      <c r="E3" s="3694"/>
      <c r="F3" s="982"/>
      <c r="G3" s="3695" t="s">
        <v>354</v>
      </c>
      <c r="H3" s="3695"/>
      <c r="I3" s="3695"/>
      <c r="J3" s="3695"/>
      <c r="K3" s="3695"/>
      <c r="L3" s="3695"/>
      <c r="M3" s="3695"/>
      <c r="N3" s="3695"/>
      <c r="O3" s="3696"/>
      <c r="P3" s="3699" t="s">
        <v>4</v>
      </c>
      <c r="Q3" s="3734" t="s">
        <v>326</v>
      </c>
      <c r="R3" s="3703" t="s">
        <v>5</v>
      </c>
      <c r="S3" s="3705" t="s">
        <v>6</v>
      </c>
    </row>
    <row r="4" spans="1:21" s="841" customFormat="1" ht="14.45" customHeight="1" thickBot="1">
      <c r="A4" s="983" t="s">
        <v>359</v>
      </c>
      <c r="B4" s="984" t="s">
        <v>484</v>
      </c>
      <c r="C4" s="984" t="s">
        <v>144</v>
      </c>
      <c r="D4" s="984" t="s">
        <v>362</v>
      </c>
      <c r="E4" s="984" t="s">
        <v>363</v>
      </c>
      <c r="F4" s="985" t="s">
        <v>364</v>
      </c>
      <c r="G4" s="3697"/>
      <c r="H4" s="3697"/>
      <c r="I4" s="3697"/>
      <c r="J4" s="3697"/>
      <c r="K4" s="3697"/>
      <c r="L4" s="3697"/>
      <c r="M4" s="3697"/>
      <c r="N4" s="3697"/>
      <c r="O4" s="3698"/>
      <c r="P4" s="3700"/>
      <c r="Q4" s="3735"/>
      <c r="R4" s="3704"/>
      <c r="S4" s="3706"/>
    </row>
    <row r="5" spans="1:21" ht="14.45" customHeight="1" thickBot="1">
      <c r="A5" s="609" t="s">
        <v>485</v>
      </c>
      <c r="B5" s="610"/>
      <c r="C5" s="611"/>
      <c r="D5" s="611"/>
      <c r="E5" s="611"/>
      <c r="F5" s="611"/>
      <c r="G5" s="612"/>
      <c r="H5" s="611"/>
      <c r="I5" s="611"/>
      <c r="J5" s="611"/>
      <c r="K5" s="611"/>
      <c r="L5" s="611"/>
      <c r="M5" s="611"/>
      <c r="N5" s="613"/>
      <c r="O5" s="611"/>
      <c r="P5" s="614">
        <f>P6</f>
        <v>155824000</v>
      </c>
      <c r="Q5" s="614">
        <f>Q6</f>
        <v>153106000</v>
      </c>
      <c r="R5" s="615">
        <f t="shared" ref="R5:R10" si="0">+P5-Q5</f>
        <v>2718000</v>
      </c>
      <c r="S5" s="987">
        <f t="shared" ref="S5:S10" si="1">+R5/Q5</f>
        <v>1.7752406829255548E-2</v>
      </c>
    </row>
    <row r="6" spans="1:21" ht="14.45" customHeight="1">
      <c r="A6" s="778"/>
      <c r="B6" s="779" t="s">
        <v>366</v>
      </c>
      <c r="C6" s="780"/>
      <c r="D6" s="780"/>
      <c r="E6" s="863"/>
      <c r="F6" s="863"/>
      <c r="G6" s="864"/>
      <c r="H6" s="863"/>
      <c r="I6" s="863"/>
      <c r="J6" s="863"/>
      <c r="K6" s="863"/>
      <c r="L6" s="863"/>
      <c r="M6" s="863"/>
      <c r="N6" s="865"/>
      <c r="O6" s="863"/>
      <c r="P6" s="866">
        <f>SUM(P7,P23)</f>
        <v>155824000</v>
      </c>
      <c r="Q6" s="866">
        <f>SUM(Q7,Q23)</f>
        <v>153106000</v>
      </c>
      <c r="R6" s="924">
        <f t="shared" si="0"/>
        <v>2718000</v>
      </c>
      <c r="S6" s="1388">
        <f t="shared" si="1"/>
        <v>1.7752406829255548E-2</v>
      </c>
    </row>
    <row r="7" spans="1:21" ht="14.45" customHeight="1">
      <c r="A7" s="778"/>
      <c r="B7" s="844"/>
      <c r="C7" s="787" t="s">
        <v>367</v>
      </c>
      <c r="D7" s="787"/>
      <c r="E7" s="869"/>
      <c r="F7" s="869"/>
      <c r="G7" s="870"/>
      <c r="H7" s="869"/>
      <c r="I7" s="869"/>
      <c r="J7" s="869"/>
      <c r="K7" s="869"/>
      <c r="L7" s="869"/>
      <c r="M7" s="869"/>
      <c r="N7" s="871"/>
      <c r="O7" s="869"/>
      <c r="P7" s="872">
        <f>SUM(P8,P15,P19)</f>
        <v>39480000</v>
      </c>
      <c r="Q7" s="872">
        <f>SUM(Q8,Q15,Q19)</f>
        <v>34620000</v>
      </c>
      <c r="R7" s="867">
        <f t="shared" si="0"/>
        <v>4860000</v>
      </c>
      <c r="S7" s="1407">
        <f t="shared" si="1"/>
        <v>0.14038128249566725</v>
      </c>
    </row>
    <row r="8" spans="1:21" ht="14.45" customHeight="1">
      <c r="A8" s="778"/>
      <c r="B8" s="786"/>
      <c r="C8" s="792"/>
      <c r="D8" s="684" t="s">
        <v>368</v>
      </c>
      <c r="E8" s="2229"/>
      <c r="F8" s="635"/>
      <c r="G8" s="636"/>
      <c r="H8" s="635"/>
      <c r="I8" s="635"/>
      <c r="J8" s="635"/>
      <c r="K8" s="635"/>
      <c r="L8" s="635"/>
      <c r="M8" s="635"/>
      <c r="N8" s="637"/>
      <c r="O8" s="635"/>
      <c r="P8" s="638">
        <f>SUM(P9,P12)</f>
        <v>1320000</v>
      </c>
      <c r="Q8" s="638">
        <f>SUM(Q9,Q12)</f>
        <v>1620000</v>
      </c>
      <c r="R8" s="793">
        <f t="shared" si="0"/>
        <v>-300000</v>
      </c>
      <c r="S8" s="2449">
        <f t="shared" si="1"/>
        <v>-0.18518518518518517</v>
      </c>
    </row>
    <row r="9" spans="1:21" ht="14.45" customHeight="1">
      <c r="A9" s="778"/>
      <c r="B9" s="786"/>
      <c r="C9" s="792"/>
      <c r="D9" s="844"/>
      <c r="E9" s="3637" t="s">
        <v>152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645">
        <f>O10</f>
        <v>600000</v>
      </c>
      <c r="Q9" s="645">
        <v>420000</v>
      </c>
      <c r="R9" s="646">
        <f t="shared" si="0"/>
        <v>180000</v>
      </c>
      <c r="S9" s="647">
        <f t="shared" si="1"/>
        <v>0.42857142857142855</v>
      </c>
    </row>
    <row r="10" spans="1:21" ht="14.45" customHeight="1">
      <c r="A10" s="778"/>
      <c r="B10" s="786"/>
      <c r="C10" s="792"/>
      <c r="D10" s="786"/>
      <c r="F10" s="679" t="s">
        <v>1631</v>
      </c>
      <c r="G10" s="686"/>
      <c r="H10" s="679"/>
      <c r="I10" s="679"/>
      <c r="J10" s="679"/>
      <c r="K10" s="679"/>
      <c r="L10" s="679"/>
      <c r="M10" s="679"/>
      <c r="N10" s="687"/>
      <c r="O10" s="681">
        <f>O11</f>
        <v>600000</v>
      </c>
      <c r="P10" s="1039">
        <v>600000</v>
      </c>
      <c r="Q10" s="1039">
        <v>420000</v>
      </c>
      <c r="R10" s="1040">
        <f t="shared" si="0"/>
        <v>180000</v>
      </c>
      <c r="S10" s="2946">
        <f t="shared" si="1"/>
        <v>0.42857142857142855</v>
      </c>
    </row>
    <row r="11" spans="1:21" ht="14.45" customHeight="1">
      <c r="A11" s="778"/>
      <c r="B11" s="786"/>
      <c r="C11" s="792"/>
      <c r="D11" s="786"/>
      <c r="E11" s="3412"/>
      <c r="F11" s="697" t="s">
        <v>1632</v>
      </c>
      <c r="G11" s="880">
        <v>50000</v>
      </c>
      <c r="H11" s="691" t="s">
        <v>21</v>
      </c>
      <c r="I11" s="881">
        <v>12</v>
      </c>
      <c r="J11" s="691"/>
      <c r="K11" s="881"/>
      <c r="L11" s="691"/>
      <c r="M11" s="691"/>
      <c r="N11" s="701" t="s">
        <v>22</v>
      </c>
      <c r="O11" s="882">
        <f>G11*I11</f>
        <v>600000</v>
      </c>
      <c r="P11" s="858"/>
      <c r="Q11" s="858"/>
      <c r="R11" s="859"/>
      <c r="S11" s="1383"/>
    </row>
    <row r="12" spans="1:21" ht="14.45" customHeight="1">
      <c r="A12" s="778"/>
      <c r="B12" s="786"/>
      <c r="C12" s="792"/>
      <c r="D12" s="786"/>
      <c r="E12" s="3637" t="s">
        <v>272</v>
      </c>
      <c r="F12" s="3638"/>
      <c r="G12" s="3638"/>
      <c r="H12" s="3638"/>
      <c r="I12" s="3638"/>
      <c r="J12" s="3638"/>
      <c r="K12" s="3638"/>
      <c r="L12" s="3638"/>
      <c r="M12" s="3638"/>
      <c r="N12" s="3638"/>
      <c r="O12" s="3639"/>
      <c r="P12" s="645">
        <f>O13</f>
        <v>720000</v>
      </c>
      <c r="Q12" s="645">
        <v>1200000</v>
      </c>
      <c r="R12" s="646">
        <f>+P12-Q12</f>
        <v>-480000</v>
      </c>
      <c r="S12" s="647">
        <f>+R12/Q12</f>
        <v>-0.4</v>
      </c>
      <c r="U12" s="1120"/>
    </row>
    <row r="13" spans="1:21" ht="14.45" customHeight="1">
      <c r="A13" s="778"/>
      <c r="B13" s="786"/>
      <c r="C13" s="792"/>
      <c r="D13" s="786"/>
      <c r="F13" s="1035" t="s">
        <v>486</v>
      </c>
      <c r="G13" s="1036"/>
      <c r="H13" s="1035"/>
      <c r="I13" s="2947"/>
      <c r="J13" s="1035"/>
      <c r="K13" s="1035"/>
      <c r="L13" s="1035"/>
      <c r="M13" s="1035"/>
      <c r="N13" s="1037"/>
      <c r="O13" s="2948">
        <f>O14</f>
        <v>720000</v>
      </c>
      <c r="P13" s="1039">
        <v>720000</v>
      </c>
      <c r="Q13" s="1039">
        <v>1200000</v>
      </c>
      <c r="R13" s="1040">
        <f>+P13-Q13</f>
        <v>-480000</v>
      </c>
      <c r="S13" s="2946">
        <f>+R13/Q13</f>
        <v>-0.4</v>
      </c>
      <c r="U13" s="1120"/>
    </row>
    <row r="14" spans="1:21" ht="14.45" customHeight="1">
      <c r="A14" s="778"/>
      <c r="B14" s="786"/>
      <c r="C14" s="792"/>
      <c r="D14" s="786"/>
      <c r="F14" s="845" t="s">
        <v>487</v>
      </c>
      <c r="G14" s="880">
        <v>60000</v>
      </c>
      <c r="H14" s="691" t="s">
        <v>21</v>
      </c>
      <c r="I14" s="881">
        <v>12</v>
      </c>
      <c r="J14" s="845"/>
      <c r="K14" s="1978"/>
      <c r="L14" s="845"/>
      <c r="M14" s="845"/>
      <c r="N14" s="922" t="s">
        <v>22</v>
      </c>
      <c r="O14" s="1059">
        <f>G14*I14</f>
        <v>720000</v>
      </c>
      <c r="P14" s="858"/>
      <c r="Q14" s="858"/>
      <c r="R14" s="859"/>
      <c r="S14" s="1383"/>
    </row>
    <row r="15" spans="1:21" ht="14.45" customHeight="1">
      <c r="A15" s="778"/>
      <c r="B15" s="786"/>
      <c r="C15" s="792"/>
      <c r="D15" s="684" t="s">
        <v>371</v>
      </c>
      <c r="E15" s="2229"/>
      <c r="F15" s="635"/>
      <c r="G15" s="636"/>
      <c r="H15" s="635"/>
      <c r="I15" s="635"/>
      <c r="J15" s="635"/>
      <c r="K15" s="635"/>
      <c r="L15" s="635"/>
      <c r="M15" s="635"/>
      <c r="N15" s="637"/>
      <c r="O15" s="635"/>
      <c r="P15" s="638">
        <f>P16</f>
        <v>360000</v>
      </c>
      <c r="Q15" s="638">
        <f>Q16</f>
        <v>360000</v>
      </c>
      <c r="R15" s="793">
        <f>+P15-Q15</f>
        <v>0</v>
      </c>
      <c r="S15" s="2449">
        <f>+R15/Q15</f>
        <v>0</v>
      </c>
      <c r="U15" s="1160"/>
    </row>
    <row r="16" spans="1:21" ht="14.45" customHeight="1">
      <c r="A16" s="778"/>
      <c r="B16" s="786"/>
      <c r="C16" s="792"/>
      <c r="D16" s="844"/>
      <c r="E16" s="3637" t="s">
        <v>157</v>
      </c>
      <c r="F16" s="3638"/>
      <c r="G16" s="3638"/>
      <c r="H16" s="3638"/>
      <c r="I16" s="3638"/>
      <c r="J16" s="3638"/>
      <c r="K16" s="3638"/>
      <c r="L16" s="3638"/>
      <c r="M16" s="3638"/>
      <c r="N16" s="3638"/>
      <c r="O16" s="3639"/>
      <c r="P16" s="645">
        <f>ROUNDUP(O17,-3)</f>
        <v>360000</v>
      </c>
      <c r="Q16" s="645">
        <v>360000</v>
      </c>
      <c r="R16" s="646">
        <f>+P16-Q16</f>
        <v>0</v>
      </c>
      <c r="S16" s="647">
        <f>+R16/Q16</f>
        <v>0</v>
      </c>
    </row>
    <row r="17" spans="1:21">
      <c r="A17" s="778"/>
      <c r="B17" s="786"/>
      <c r="C17" s="792"/>
      <c r="D17" s="786"/>
      <c r="F17" s="1035" t="s">
        <v>158</v>
      </c>
      <c r="G17" s="1036"/>
      <c r="H17" s="1035"/>
      <c r="I17" s="1035"/>
      <c r="J17" s="1035"/>
      <c r="K17" s="1035"/>
      <c r="L17" s="1035"/>
      <c r="M17" s="1035"/>
      <c r="N17" s="1037"/>
      <c r="O17" s="1134">
        <f>SUM(O18:O18)</f>
        <v>360000</v>
      </c>
      <c r="P17" s="1039">
        <v>360000</v>
      </c>
      <c r="Q17" s="1039">
        <v>360000</v>
      </c>
      <c r="R17" s="1040">
        <f>+P17-Q17</f>
        <v>0</v>
      </c>
      <c r="S17" s="2946">
        <f>+R17/Q17</f>
        <v>0</v>
      </c>
    </row>
    <row r="18" spans="1:21">
      <c r="A18" s="778"/>
      <c r="B18" s="786"/>
      <c r="C18" s="792"/>
      <c r="D18" s="786"/>
      <c r="E18" s="3412"/>
      <c r="F18" s="847" t="s">
        <v>488</v>
      </c>
      <c r="G18" s="855">
        <v>5000</v>
      </c>
      <c r="H18" s="845" t="s">
        <v>21</v>
      </c>
      <c r="I18" s="1978">
        <v>6</v>
      </c>
      <c r="J18" s="845" t="s">
        <v>21</v>
      </c>
      <c r="K18" s="856">
        <v>12</v>
      </c>
      <c r="L18" s="845"/>
      <c r="M18" s="845"/>
      <c r="N18" s="922" t="s">
        <v>22</v>
      </c>
      <c r="O18" s="857">
        <f>G18*I18*K18</f>
        <v>360000</v>
      </c>
      <c r="P18" s="858"/>
      <c r="Q18" s="858"/>
      <c r="R18" s="859"/>
      <c r="S18" s="1383"/>
      <c r="U18" s="1160"/>
    </row>
    <row r="19" spans="1:21">
      <c r="A19" s="778"/>
      <c r="B19" s="786"/>
      <c r="C19" s="792"/>
      <c r="D19" s="684" t="s">
        <v>489</v>
      </c>
      <c r="E19" s="2229"/>
      <c r="F19" s="635"/>
      <c r="G19" s="636"/>
      <c r="H19" s="635"/>
      <c r="I19" s="635"/>
      <c r="J19" s="635"/>
      <c r="K19" s="635"/>
      <c r="L19" s="635"/>
      <c r="M19" s="635"/>
      <c r="N19" s="637"/>
      <c r="O19" s="635"/>
      <c r="P19" s="638">
        <f>P20</f>
        <v>37800000</v>
      </c>
      <c r="Q19" s="638">
        <f>Q20</f>
        <v>32640000</v>
      </c>
      <c r="R19" s="793">
        <f>+P19-Q19</f>
        <v>5160000</v>
      </c>
      <c r="S19" s="2449">
        <f>+R19/Q19</f>
        <v>0.15808823529411764</v>
      </c>
      <c r="U19" s="1160"/>
    </row>
    <row r="20" spans="1:21">
      <c r="A20" s="778"/>
      <c r="B20" s="786"/>
      <c r="C20" s="792"/>
      <c r="D20" s="844"/>
      <c r="E20" s="3637" t="s">
        <v>162</v>
      </c>
      <c r="F20" s="3638"/>
      <c r="G20" s="3638"/>
      <c r="H20" s="3638"/>
      <c r="I20" s="3638"/>
      <c r="J20" s="3638"/>
      <c r="K20" s="3638"/>
      <c r="L20" s="3638"/>
      <c r="M20" s="3638"/>
      <c r="N20" s="3638"/>
      <c r="O20" s="3639"/>
      <c r="P20" s="645">
        <f>ROUNDUP(O21,-3)</f>
        <v>37800000</v>
      </c>
      <c r="Q20" s="645">
        <v>32640000</v>
      </c>
      <c r="R20" s="646">
        <f>+P20-Q20</f>
        <v>5160000</v>
      </c>
      <c r="S20" s="647">
        <f>+R20/Q20</f>
        <v>0.15808823529411764</v>
      </c>
    </row>
    <row r="21" spans="1:21">
      <c r="A21" s="778"/>
      <c r="B21" s="786"/>
      <c r="C21" s="792"/>
      <c r="D21" s="786"/>
      <c r="F21" s="1035" t="s">
        <v>375</v>
      </c>
      <c r="G21" s="1036"/>
      <c r="H21" s="1035"/>
      <c r="I21" s="1035"/>
      <c r="J21" s="1035"/>
      <c r="K21" s="1035"/>
      <c r="L21" s="1035"/>
      <c r="M21" s="1035"/>
      <c r="N21" s="1037"/>
      <c r="O21" s="1134">
        <f>SUM(O22:O22)</f>
        <v>37800000</v>
      </c>
      <c r="P21" s="1039">
        <v>37800000</v>
      </c>
      <c r="Q21" s="1039">
        <v>32640000</v>
      </c>
      <c r="R21" s="1040">
        <f>+P21-Q21</f>
        <v>5160000</v>
      </c>
      <c r="S21" s="2946">
        <f>+R21/Q21</f>
        <v>0.15808823529411764</v>
      </c>
      <c r="U21" s="1160"/>
    </row>
    <row r="22" spans="1:21">
      <c r="A22" s="778"/>
      <c r="B22" s="786"/>
      <c r="C22" s="792"/>
      <c r="D22" s="846"/>
      <c r="E22" s="3412"/>
      <c r="F22" s="847" t="s">
        <v>2816</v>
      </c>
      <c r="G22" s="855">
        <v>3150000</v>
      </c>
      <c r="H22" s="845" t="s">
        <v>125</v>
      </c>
      <c r="I22" s="856">
        <v>12</v>
      </c>
      <c r="J22" s="845"/>
      <c r="K22" s="856"/>
      <c r="L22" s="845"/>
      <c r="M22" s="845"/>
      <c r="N22" s="922" t="s">
        <v>370</v>
      </c>
      <c r="O22" s="857">
        <f>G22*I22</f>
        <v>37800000</v>
      </c>
      <c r="P22" s="858"/>
      <c r="Q22" s="858"/>
      <c r="R22" s="859"/>
      <c r="S22" s="1383"/>
    </row>
    <row r="23" spans="1:21">
      <c r="A23" s="778"/>
      <c r="B23" s="786"/>
      <c r="C23" s="3685" t="s">
        <v>491</v>
      </c>
      <c r="D23" s="3686"/>
      <c r="E23" s="3686"/>
      <c r="F23" s="3686"/>
      <c r="G23" s="3686"/>
      <c r="H23" s="3686"/>
      <c r="I23" s="3686"/>
      <c r="J23" s="3686"/>
      <c r="K23" s="3686"/>
      <c r="L23" s="3686"/>
      <c r="M23" s="3686"/>
      <c r="N23" s="3686"/>
      <c r="O23" s="3687"/>
      <c r="P23" s="872">
        <f>P24+P28</f>
        <v>116344000</v>
      </c>
      <c r="Q23" s="872">
        <f>Q24+Q28</f>
        <v>118486000</v>
      </c>
      <c r="R23" s="867">
        <f>+P23-Q23</f>
        <v>-2142000</v>
      </c>
      <c r="S23" s="1407">
        <f>+R23/Q23</f>
        <v>-1.8078085174619785E-2</v>
      </c>
    </row>
    <row r="24" spans="1:21">
      <c r="A24" s="778"/>
      <c r="B24" s="786"/>
      <c r="C24" s="844"/>
      <c r="D24" s="684" t="s">
        <v>492</v>
      </c>
      <c r="E24" s="2229"/>
      <c r="F24" s="635"/>
      <c r="G24" s="636"/>
      <c r="H24" s="635"/>
      <c r="I24" s="635"/>
      <c r="J24" s="635"/>
      <c r="K24" s="635"/>
      <c r="L24" s="635"/>
      <c r="M24" s="635"/>
      <c r="N24" s="637"/>
      <c r="O24" s="635"/>
      <c r="P24" s="638">
        <f>P25</f>
        <v>20000</v>
      </c>
      <c r="Q24" s="638">
        <f>Q25</f>
        <v>13000</v>
      </c>
      <c r="R24" s="793">
        <f>+P24-Q24</f>
        <v>7000</v>
      </c>
      <c r="S24" s="2449">
        <f>+R24/Q24</f>
        <v>0.53846153846153844</v>
      </c>
    </row>
    <row r="25" spans="1:21">
      <c r="A25" s="778"/>
      <c r="B25" s="786"/>
      <c r="C25" s="786"/>
      <c r="D25" s="844"/>
      <c r="E25" s="3637" t="s">
        <v>2993</v>
      </c>
      <c r="F25" s="3638"/>
      <c r="G25" s="3638"/>
      <c r="H25" s="3638"/>
      <c r="I25" s="3638"/>
      <c r="J25" s="3638"/>
      <c r="K25" s="3638"/>
      <c r="L25" s="3638"/>
      <c r="M25" s="3638"/>
      <c r="N25" s="3638"/>
      <c r="O25" s="3639"/>
      <c r="P25" s="645">
        <f>ROUNDUP(O26,-3)</f>
        <v>20000</v>
      </c>
      <c r="Q25" s="645">
        <v>13000</v>
      </c>
      <c r="R25" s="646">
        <f>+P25-Q25</f>
        <v>7000</v>
      </c>
      <c r="S25" s="647">
        <f>+R25/Q25</f>
        <v>0.53846153846153844</v>
      </c>
    </row>
    <row r="26" spans="1:21">
      <c r="A26" s="778"/>
      <c r="B26" s="786"/>
      <c r="C26" s="786"/>
      <c r="D26" s="786"/>
      <c r="F26" s="1035" t="s">
        <v>168</v>
      </c>
      <c r="G26" s="1036"/>
      <c r="H26" s="1035"/>
      <c r="I26" s="1035"/>
      <c r="J26" s="1035"/>
      <c r="K26" s="1035"/>
      <c r="L26" s="1035"/>
      <c r="M26" s="1035"/>
      <c r="N26" s="1037"/>
      <c r="O26" s="1134">
        <f>SUM(O27:O27)</f>
        <v>20000</v>
      </c>
      <c r="P26" s="1039">
        <v>20000</v>
      </c>
      <c r="Q26" s="1039">
        <v>13000</v>
      </c>
      <c r="R26" s="1040">
        <f>+P26-Q26</f>
        <v>7000</v>
      </c>
      <c r="S26" s="2946">
        <f>+R26/Q26</f>
        <v>0.53846153846153844</v>
      </c>
    </row>
    <row r="27" spans="1:21">
      <c r="A27" s="778"/>
      <c r="B27" s="786"/>
      <c r="C27" s="786"/>
      <c r="D27" s="846"/>
      <c r="E27" s="3412"/>
      <c r="F27" s="847" t="s">
        <v>493</v>
      </c>
      <c r="G27" s="855">
        <v>20000</v>
      </c>
      <c r="H27" s="845" t="s">
        <v>190</v>
      </c>
      <c r="I27" s="1058">
        <v>1</v>
      </c>
      <c r="J27" s="845"/>
      <c r="K27" s="856"/>
      <c r="L27" s="845"/>
      <c r="M27" s="845"/>
      <c r="N27" s="922" t="s">
        <v>494</v>
      </c>
      <c r="O27" s="857">
        <f>G27*I27</f>
        <v>20000</v>
      </c>
      <c r="P27" s="858"/>
      <c r="Q27" s="858"/>
      <c r="R27" s="859"/>
      <c r="S27" s="1383"/>
    </row>
    <row r="28" spans="1:21">
      <c r="A28" s="778"/>
      <c r="B28" s="786"/>
      <c r="C28" s="786"/>
      <c r="D28" s="532" t="s">
        <v>23</v>
      </c>
      <c r="E28" s="2229"/>
      <c r="F28" s="635"/>
      <c r="G28" s="636"/>
      <c r="H28" s="635"/>
      <c r="I28" s="635"/>
      <c r="J28" s="635"/>
      <c r="K28" s="635"/>
      <c r="L28" s="635"/>
      <c r="M28" s="635"/>
      <c r="N28" s="637"/>
      <c r="O28" s="635"/>
      <c r="P28" s="638">
        <f>P29</f>
        <v>116324000</v>
      </c>
      <c r="Q28" s="638">
        <f>Q29</f>
        <v>118473000</v>
      </c>
      <c r="R28" s="793">
        <f>+P28-Q28</f>
        <v>-2149000</v>
      </c>
      <c r="S28" s="2449">
        <f>+R28/Q28</f>
        <v>-1.8139154068859572E-2</v>
      </c>
    </row>
    <row r="29" spans="1:21">
      <c r="A29" s="778"/>
      <c r="B29" s="786"/>
      <c r="C29" s="786"/>
      <c r="D29" s="844"/>
      <c r="E29" s="3637" t="s">
        <v>2994</v>
      </c>
      <c r="F29" s="3638"/>
      <c r="G29" s="3638"/>
      <c r="H29" s="3638"/>
      <c r="I29" s="3638"/>
      <c r="J29" s="3638"/>
      <c r="K29" s="3638"/>
      <c r="L29" s="3638"/>
      <c r="M29" s="3638"/>
      <c r="N29" s="3638"/>
      <c r="O29" s="3639"/>
      <c r="P29" s="645">
        <f>ROUNDUP(O30,-3)</f>
        <v>116324000</v>
      </c>
      <c r="Q29" s="645">
        <v>118473000</v>
      </c>
      <c r="R29" s="646">
        <f>+P29-Q29</f>
        <v>-2149000</v>
      </c>
      <c r="S29" s="647">
        <f>+R29/Q29</f>
        <v>-1.8139154068859572E-2</v>
      </c>
    </row>
    <row r="30" spans="1:21">
      <c r="A30" s="778"/>
      <c r="B30" s="786"/>
      <c r="C30" s="786"/>
      <c r="D30" s="786"/>
      <c r="E30" s="3413"/>
      <c r="F30" s="1085" t="s">
        <v>495</v>
      </c>
      <c r="G30" s="2930"/>
      <c r="H30" s="2929"/>
      <c r="I30" s="2929"/>
      <c r="J30" s="2929"/>
      <c r="K30" s="2929"/>
      <c r="L30" s="2929"/>
      <c r="M30" s="2929"/>
      <c r="N30" s="2931"/>
      <c r="O30" s="2932">
        <f>SUM(O31:O31)</f>
        <v>116324000</v>
      </c>
      <c r="P30" s="653">
        <f>O30</f>
        <v>116324000</v>
      </c>
      <c r="Q30" s="1089">
        <v>118473000</v>
      </c>
      <c r="R30" s="1090">
        <f>+P30-Q30</f>
        <v>-2149000</v>
      </c>
      <c r="S30" s="1091">
        <f>+R30/Q30</f>
        <v>-1.8139154068859572E-2</v>
      </c>
    </row>
    <row r="31" spans="1:21" ht="17.25" thickBot="1">
      <c r="A31" s="898"/>
      <c r="B31" s="899"/>
      <c r="C31" s="899"/>
      <c r="D31" s="899"/>
      <c r="E31" s="3414"/>
      <c r="F31" s="901" t="s">
        <v>496</v>
      </c>
      <c r="G31" s="769">
        <v>116324000</v>
      </c>
      <c r="H31" s="599" t="s">
        <v>153</v>
      </c>
      <c r="I31" s="2949">
        <v>1</v>
      </c>
      <c r="J31" s="599"/>
      <c r="K31" s="771"/>
      <c r="L31" s="599"/>
      <c r="M31" s="599"/>
      <c r="N31" s="602" t="s">
        <v>206</v>
      </c>
      <c r="O31" s="2935">
        <f>G31</f>
        <v>116324000</v>
      </c>
      <c r="P31" s="1399"/>
      <c r="Q31" s="1399"/>
      <c r="R31" s="1400"/>
      <c r="S31" s="2950"/>
    </row>
    <row r="46" spans="14:14">
      <c r="N46" s="922"/>
    </row>
    <row r="112" spans="11:11">
      <c r="K112" s="128" t="s">
        <v>2981</v>
      </c>
    </row>
  </sheetData>
  <mergeCells count="15">
    <mergeCell ref="A1:S1"/>
    <mergeCell ref="R2:S2"/>
    <mergeCell ref="A3:E3"/>
    <mergeCell ref="G3:O4"/>
    <mergeCell ref="P3:P4"/>
    <mergeCell ref="Q3:Q4"/>
    <mergeCell ref="R3:R4"/>
    <mergeCell ref="S3:S4"/>
    <mergeCell ref="E29:O29"/>
    <mergeCell ref="C23:O23"/>
    <mergeCell ref="E9:O9"/>
    <mergeCell ref="E12:O12"/>
    <mergeCell ref="E16:O16"/>
    <mergeCell ref="E20:O20"/>
    <mergeCell ref="E25:O2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0" orientation="landscape" r:id="rId1"/>
  <headerFooter scaleWithDoc="0"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99FF"/>
    <pageSetUpPr fitToPage="1"/>
  </sheetPr>
  <dimension ref="A1:V112"/>
  <sheetViews>
    <sheetView view="pageBreakPreview" zoomScale="85" zoomScaleNormal="85" zoomScaleSheetLayoutView="85" workbookViewId="0">
      <pane xSplit="3" ySplit="7" topLeftCell="D20" activePane="bottomRight" state="frozen"/>
      <selection activeCell="O40" sqref="O39:O40"/>
      <selection pane="topRight" activeCell="O40" sqref="O39:O40"/>
      <selection pane="bottomLeft" activeCell="O40" sqref="O39:O40"/>
      <selection pane="bottomRight" activeCell="C7" sqref="C7:O7"/>
    </sheetView>
  </sheetViews>
  <sheetFormatPr defaultColWidth="9" defaultRowHeight="16.5"/>
  <cols>
    <col min="1" max="1" width="3.625" style="128" customWidth="1"/>
    <col min="2" max="4" width="3.625" style="839" customWidth="1"/>
    <col min="5" max="5" width="10.625" style="3410" customWidth="1"/>
    <col min="6" max="6" width="23.125" style="128" customWidth="1"/>
    <col min="7" max="7" width="13.25" style="840" bestFit="1" customWidth="1"/>
    <col min="8" max="8" width="2.125" style="128" customWidth="1"/>
    <col min="9" max="9" width="5.875" style="128" bestFit="1" customWidth="1"/>
    <col min="10" max="10" width="2.125" style="128" customWidth="1"/>
    <col min="11" max="11" width="6.125" style="128" bestFit="1" customWidth="1"/>
    <col min="12" max="12" width="2.75" style="128" customWidth="1"/>
    <col min="13" max="13" width="5.875" style="128" bestFit="1" customWidth="1"/>
    <col min="14" max="14" width="2.625" style="841" customWidth="1"/>
    <col min="15" max="15" width="12.625" style="128" customWidth="1"/>
    <col min="16" max="16" width="10.625" style="842" customWidth="1"/>
    <col min="17" max="17" width="10.625" style="843" customWidth="1"/>
    <col min="18" max="18" width="10.625" style="1174" customWidth="1"/>
    <col min="19" max="19" width="10.625" style="1175" customWidth="1"/>
    <col min="20" max="20" width="9" style="128"/>
    <col min="21" max="22" width="11.75" style="128" customWidth="1"/>
    <col min="23" max="16384" width="9" style="128"/>
  </cols>
  <sheetData>
    <row r="1" spans="1:22" ht="35.1" customHeight="1">
      <c r="A1" s="3679" t="s">
        <v>2093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</row>
    <row r="2" spans="1:22" ht="15" customHeight="1" thickBot="1">
      <c r="A2" s="128" t="s">
        <v>352</v>
      </c>
      <c r="E2" s="845"/>
      <c r="R2" s="3680" t="s">
        <v>483</v>
      </c>
      <c r="S2" s="3680"/>
    </row>
    <row r="3" spans="1:22" s="841" customFormat="1" ht="15" customHeight="1">
      <c r="A3" s="3693" t="s">
        <v>353</v>
      </c>
      <c r="B3" s="3694"/>
      <c r="C3" s="3694"/>
      <c r="D3" s="3694"/>
      <c r="E3" s="3694"/>
      <c r="F3" s="982"/>
      <c r="G3" s="3695" t="s">
        <v>354</v>
      </c>
      <c r="H3" s="3695"/>
      <c r="I3" s="3695"/>
      <c r="J3" s="3695"/>
      <c r="K3" s="3695"/>
      <c r="L3" s="3695"/>
      <c r="M3" s="3695"/>
      <c r="N3" s="3695"/>
      <c r="O3" s="3696"/>
      <c r="P3" s="3699" t="s">
        <v>355</v>
      </c>
      <c r="Q3" s="3701" t="s">
        <v>356</v>
      </c>
      <c r="R3" s="3703" t="s">
        <v>357</v>
      </c>
      <c r="S3" s="3705" t="s">
        <v>358</v>
      </c>
    </row>
    <row r="4" spans="1:22" s="841" customFormat="1" ht="15" customHeight="1" thickBot="1">
      <c r="A4" s="983" t="s">
        <v>359</v>
      </c>
      <c r="B4" s="984" t="s">
        <v>484</v>
      </c>
      <c r="C4" s="984" t="s">
        <v>361</v>
      </c>
      <c r="D4" s="984" t="s">
        <v>362</v>
      </c>
      <c r="E4" s="984" t="s">
        <v>363</v>
      </c>
      <c r="F4" s="985" t="s">
        <v>364</v>
      </c>
      <c r="G4" s="3697"/>
      <c r="H4" s="3697"/>
      <c r="I4" s="3697"/>
      <c r="J4" s="3697"/>
      <c r="K4" s="3697"/>
      <c r="L4" s="3697"/>
      <c r="M4" s="3697"/>
      <c r="N4" s="3697"/>
      <c r="O4" s="3698"/>
      <c r="P4" s="3700"/>
      <c r="Q4" s="3702"/>
      <c r="R4" s="3704"/>
      <c r="S4" s="3706"/>
    </row>
    <row r="5" spans="1:22" s="1371" customFormat="1" ht="15" customHeight="1" thickBot="1">
      <c r="A5" s="2937" t="s">
        <v>499</v>
      </c>
      <c r="B5" s="2938"/>
      <c r="C5" s="2939"/>
      <c r="D5" s="2939"/>
      <c r="E5" s="2939"/>
      <c r="F5" s="2939"/>
      <c r="G5" s="2940"/>
      <c r="H5" s="2939"/>
      <c r="I5" s="2939"/>
      <c r="J5" s="2939"/>
      <c r="K5" s="2939"/>
      <c r="L5" s="2939"/>
      <c r="M5" s="2939"/>
      <c r="N5" s="2941"/>
      <c r="O5" s="2939"/>
      <c r="P5" s="614">
        <f>P6+P21</f>
        <v>101394000</v>
      </c>
      <c r="Q5" s="614">
        <f>Q6+Q21</f>
        <v>89509000</v>
      </c>
      <c r="R5" s="615">
        <f t="shared" ref="R5:R10" si="0">+P5-Q5</f>
        <v>11885000</v>
      </c>
      <c r="S5" s="987">
        <f>+R5/Q5</f>
        <v>0.13277994391625422</v>
      </c>
      <c r="U5" s="1371">
        <v>101394000</v>
      </c>
      <c r="V5" s="1371">
        <v>89509000</v>
      </c>
    </row>
    <row r="6" spans="1:22" ht="15" customHeight="1">
      <c r="A6" s="2942"/>
      <c r="B6" s="3707" t="s">
        <v>366</v>
      </c>
      <c r="C6" s="3708"/>
      <c r="D6" s="3708"/>
      <c r="E6" s="3708"/>
      <c r="F6" s="3708"/>
      <c r="G6" s="3708"/>
      <c r="H6" s="3708"/>
      <c r="I6" s="3708"/>
      <c r="J6" s="3708"/>
      <c r="K6" s="3708"/>
      <c r="L6" s="3708"/>
      <c r="M6" s="3708"/>
      <c r="N6" s="3708"/>
      <c r="O6" s="3709"/>
      <c r="P6" s="866">
        <f>P7+P12</f>
        <v>100644000</v>
      </c>
      <c r="Q6" s="866">
        <f>Q7+Q12</f>
        <v>89509000</v>
      </c>
      <c r="R6" s="924">
        <f t="shared" si="0"/>
        <v>11135000</v>
      </c>
      <c r="S6" s="925">
        <f>+R6/Q6</f>
        <v>0.12440089823369717</v>
      </c>
      <c r="U6" s="1120">
        <f>P5-U5</f>
        <v>0</v>
      </c>
      <c r="V6" s="1120">
        <f>Q5-V5</f>
        <v>0</v>
      </c>
    </row>
    <row r="7" spans="1:22" ht="15" customHeight="1">
      <c r="A7" s="778"/>
      <c r="B7" s="844"/>
      <c r="C7" s="3707" t="s">
        <v>367</v>
      </c>
      <c r="D7" s="3708"/>
      <c r="E7" s="3708"/>
      <c r="F7" s="3708"/>
      <c r="G7" s="3708"/>
      <c r="H7" s="3708"/>
      <c r="I7" s="3708"/>
      <c r="J7" s="3708"/>
      <c r="K7" s="3708"/>
      <c r="L7" s="3708"/>
      <c r="M7" s="3708"/>
      <c r="N7" s="3708"/>
      <c r="O7" s="3709"/>
      <c r="P7" s="872">
        <f>P8</f>
        <v>11250000</v>
      </c>
      <c r="Q7" s="872">
        <f>Q8</f>
        <v>16000000</v>
      </c>
      <c r="R7" s="924">
        <f t="shared" si="0"/>
        <v>-4750000</v>
      </c>
      <c r="S7" s="925">
        <f>+R7/Q7</f>
        <v>-0.296875</v>
      </c>
    </row>
    <row r="8" spans="1:22" ht="15" customHeight="1">
      <c r="A8" s="778"/>
      <c r="B8" s="786"/>
      <c r="C8" s="844"/>
      <c r="D8" s="684" t="s">
        <v>489</v>
      </c>
      <c r="E8" s="2229"/>
      <c r="F8" s="635"/>
      <c r="G8" s="636"/>
      <c r="H8" s="635"/>
      <c r="I8" s="635"/>
      <c r="J8" s="635"/>
      <c r="K8" s="635"/>
      <c r="L8" s="635"/>
      <c r="M8" s="635"/>
      <c r="N8" s="637"/>
      <c r="O8" s="635"/>
      <c r="P8" s="638">
        <f>P9</f>
        <v>11250000</v>
      </c>
      <c r="Q8" s="638">
        <f>Q9</f>
        <v>16000000</v>
      </c>
      <c r="R8" s="639">
        <f t="shared" si="0"/>
        <v>-4750000</v>
      </c>
      <c r="S8" s="640">
        <f>+R8/Q8</f>
        <v>-0.296875</v>
      </c>
    </row>
    <row r="9" spans="1:22" ht="15" customHeight="1">
      <c r="A9" s="778"/>
      <c r="B9" s="786"/>
      <c r="C9" s="786"/>
      <c r="D9" s="844"/>
      <c r="E9" s="3637" t="s">
        <v>162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645">
        <f>O10</f>
        <v>11250000</v>
      </c>
      <c r="Q9" s="645">
        <v>16000000</v>
      </c>
      <c r="R9" s="646">
        <f t="shared" si="0"/>
        <v>-4750000</v>
      </c>
      <c r="S9" s="647">
        <f t="shared" ref="S9" si="1">+R9/Q9</f>
        <v>-0.296875</v>
      </c>
    </row>
    <row r="10" spans="1:22" s="1371" customFormat="1" ht="15" customHeight="1">
      <c r="A10" s="1367"/>
      <c r="B10" s="1368"/>
      <c r="C10" s="1368"/>
      <c r="D10" s="1368"/>
      <c r="E10" s="3411"/>
      <c r="F10" s="2917" t="s">
        <v>375</v>
      </c>
      <c r="G10" s="2918"/>
      <c r="H10" s="2917"/>
      <c r="I10" s="2917"/>
      <c r="J10" s="2917"/>
      <c r="K10" s="2917"/>
      <c r="L10" s="2917"/>
      <c r="M10" s="2917"/>
      <c r="N10" s="2919"/>
      <c r="O10" s="2920">
        <f>SUM(O11:O11)</f>
        <v>11250000</v>
      </c>
      <c r="P10" s="1039">
        <v>11250000</v>
      </c>
      <c r="Q10" s="1039">
        <v>16000000</v>
      </c>
      <c r="R10" s="1040">
        <f t="shared" si="0"/>
        <v>-4750000</v>
      </c>
      <c r="S10" s="1041">
        <f t="shared" ref="S10" si="2">+R10/Q10</f>
        <v>-0.296875</v>
      </c>
    </row>
    <row r="11" spans="1:22" ht="15" customHeight="1">
      <c r="A11" s="778"/>
      <c r="B11" s="786"/>
      <c r="C11" s="786"/>
      <c r="D11" s="846"/>
      <c r="E11" s="3412"/>
      <c r="F11" s="847" t="s">
        <v>490</v>
      </c>
      <c r="G11" s="880">
        <v>1250</v>
      </c>
      <c r="H11" s="691" t="s">
        <v>21</v>
      </c>
      <c r="I11" s="2943">
        <v>30</v>
      </c>
      <c r="J11" s="691" t="s">
        <v>21</v>
      </c>
      <c r="K11" s="1163">
        <v>25</v>
      </c>
      <c r="L11" s="691" t="s">
        <v>21</v>
      </c>
      <c r="M11" s="881">
        <v>12</v>
      </c>
      <c r="N11" s="922" t="s">
        <v>370</v>
      </c>
      <c r="O11" s="857">
        <f>G11*I11*K11*M11</f>
        <v>11250000</v>
      </c>
      <c r="P11" s="858"/>
      <c r="Q11" s="858"/>
      <c r="R11" s="924"/>
      <c r="S11" s="925"/>
    </row>
    <row r="12" spans="1:22" ht="15" customHeight="1">
      <c r="A12" s="778"/>
      <c r="B12" s="786"/>
      <c r="C12" s="3707" t="s">
        <v>491</v>
      </c>
      <c r="D12" s="3708"/>
      <c r="E12" s="3708"/>
      <c r="F12" s="3708"/>
      <c r="G12" s="3708"/>
      <c r="H12" s="3708"/>
      <c r="I12" s="3708"/>
      <c r="J12" s="3708"/>
      <c r="K12" s="3708"/>
      <c r="L12" s="3708"/>
      <c r="M12" s="3708"/>
      <c r="N12" s="3708"/>
      <c r="O12" s="3709"/>
      <c r="P12" s="872">
        <f>P13+P17</f>
        <v>89394000</v>
      </c>
      <c r="Q12" s="872">
        <f>Q13+Q17</f>
        <v>73509000</v>
      </c>
      <c r="R12" s="924">
        <f>+P12-Q12</f>
        <v>15885000</v>
      </c>
      <c r="S12" s="925">
        <f>+R12/Q12</f>
        <v>0.21609598824633719</v>
      </c>
    </row>
    <row r="13" spans="1:22" ht="15" customHeight="1">
      <c r="A13" s="778"/>
      <c r="B13" s="786"/>
      <c r="C13" s="792"/>
      <c r="D13" s="684" t="s">
        <v>238</v>
      </c>
      <c r="E13" s="2229"/>
      <c r="F13" s="635"/>
      <c r="G13" s="636"/>
      <c r="H13" s="635"/>
      <c r="I13" s="635"/>
      <c r="J13" s="635"/>
      <c r="K13" s="635"/>
      <c r="L13" s="635"/>
      <c r="M13" s="635"/>
      <c r="N13" s="637"/>
      <c r="O13" s="635"/>
      <c r="P13" s="638">
        <f>P14</f>
        <v>14000</v>
      </c>
      <c r="Q13" s="638">
        <f>Q14</f>
        <v>14000</v>
      </c>
      <c r="R13" s="639">
        <f>+P13-Q13</f>
        <v>0</v>
      </c>
      <c r="S13" s="640">
        <f>+R13/Q13</f>
        <v>0</v>
      </c>
    </row>
    <row r="14" spans="1:22" ht="15" customHeight="1">
      <c r="A14" s="778"/>
      <c r="B14" s="786"/>
      <c r="C14" s="792"/>
      <c r="D14" s="844"/>
      <c r="E14" s="3637" t="s">
        <v>167</v>
      </c>
      <c r="F14" s="3638"/>
      <c r="G14" s="3638"/>
      <c r="H14" s="3638"/>
      <c r="I14" s="3638"/>
      <c r="J14" s="3638"/>
      <c r="K14" s="3638"/>
      <c r="L14" s="3638"/>
      <c r="M14" s="3638"/>
      <c r="N14" s="3638"/>
      <c r="O14" s="3639"/>
      <c r="P14" s="645">
        <f>ROUNDUP(O15,-3)</f>
        <v>14000</v>
      </c>
      <c r="Q14" s="645">
        <v>14000</v>
      </c>
      <c r="R14" s="646">
        <f>+P14-Q14</f>
        <v>0</v>
      </c>
      <c r="S14" s="647">
        <f t="shared" ref="S14" si="3">+R14/Q14</f>
        <v>0</v>
      </c>
    </row>
    <row r="15" spans="1:22" ht="15" customHeight="1">
      <c r="A15" s="778"/>
      <c r="B15" s="786"/>
      <c r="C15" s="897"/>
      <c r="D15" s="786"/>
      <c r="F15" s="1035" t="s">
        <v>500</v>
      </c>
      <c r="G15" s="1036"/>
      <c r="H15" s="1035"/>
      <c r="I15" s="1035"/>
      <c r="J15" s="1035"/>
      <c r="K15" s="1035"/>
      <c r="L15" s="1035"/>
      <c r="M15" s="1035"/>
      <c r="N15" s="1037"/>
      <c r="O15" s="1134">
        <f>SUM(O16:O16)</f>
        <v>14000</v>
      </c>
      <c r="P15" s="1039">
        <v>14000</v>
      </c>
      <c r="Q15" s="1039">
        <v>14000</v>
      </c>
      <c r="R15" s="1040">
        <f>+P15-Q15</f>
        <v>0</v>
      </c>
      <c r="S15" s="1041">
        <f t="shared" ref="S15" si="4">+R15/Q15</f>
        <v>0</v>
      </c>
    </row>
    <row r="16" spans="1:22" ht="15" customHeight="1">
      <c r="A16" s="778"/>
      <c r="B16" s="786"/>
      <c r="C16" s="897"/>
      <c r="D16" s="846"/>
      <c r="E16" s="3412"/>
      <c r="F16" s="847" t="s">
        <v>501</v>
      </c>
      <c r="G16" s="855">
        <v>14000</v>
      </c>
      <c r="H16" s="845" t="s">
        <v>369</v>
      </c>
      <c r="I16" s="1058">
        <v>1</v>
      </c>
      <c r="J16" s="845"/>
      <c r="K16" s="856"/>
      <c r="L16" s="845"/>
      <c r="M16" s="845"/>
      <c r="N16" s="922" t="s">
        <v>370</v>
      </c>
      <c r="O16" s="857">
        <f>G16*I16</f>
        <v>14000</v>
      </c>
      <c r="P16" s="858"/>
      <c r="Q16" s="858"/>
      <c r="R16" s="924"/>
      <c r="S16" s="925"/>
    </row>
    <row r="17" spans="1:19" ht="15" customHeight="1">
      <c r="A17" s="778"/>
      <c r="B17" s="786"/>
      <c r="C17" s="786"/>
      <c r="D17" s="684" t="s">
        <v>502</v>
      </c>
      <c r="E17" s="2229"/>
      <c r="F17" s="635"/>
      <c r="G17" s="636"/>
      <c r="H17" s="635"/>
      <c r="I17" s="635"/>
      <c r="J17" s="635"/>
      <c r="K17" s="635"/>
      <c r="L17" s="635"/>
      <c r="M17" s="635"/>
      <c r="N17" s="637"/>
      <c r="O17" s="635"/>
      <c r="P17" s="638">
        <f>P18</f>
        <v>89380000</v>
      </c>
      <c r="Q17" s="638">
        <f>Q18</f>
        <v>73495000</v>
      </c>
      <c r="R17" s="639">
        <f>+P17-Q17</f>
        <v>15885000</v>
      </c>
      <c r="S17" s="640">
        <f>+R17/Q17</f>
        <v>0.21613715218722362</v>
      </c>
    </row>
    <row r="18" spans="1:19" ht="15" customHeight="1">
      <c r="A18" s="778"/>
      <c r="B18" s="786"/>
      <c r="C18" s="786"/>
      <c r="D18" s="844"/>
      <c r="E18" s="3637" t="s">
        <v>277</v>
      </c>
      <c r="F18" s="3638"/>
      <c r="G18" s="3638"/>
      <c r="H18" s="3638"/>
      <c r="I18" s="3638"/>
      <c r="J18" s="3638"/>
      <c r="K18" s="3638"/>
      <c r="L18" s="3638"/>
      <c r="M18" s="3638"/>
      <c r="N18" s="3638"/>
      <c r="O18" s="3639"/>
      <c r="P18" s="645">
        <f>ROUNDUP(O19,-3)</f>
        <v>89380000</v>
      </c>
      <c r="Q18" s="645">
        <v>73495000</v>
      </c>
      <c r="R18" s="646">
        <f>+P18-Q18</f>
        <v>15885000</v>
      </c>
      <c r="S18" s="647">
        <f t="shared" ref="S18" si="5">+R18/Q18</f>
        <v>0.21613715218722362</v>
      </c>
    </row>
    <row r="19" spans="1:19" ht="15" customHeight="1">
      <c r="A19" s="778"/>
      <c r="B19" s="786"/>
      <c r="C19" s="786"/>
      <c r="D19" s="786"/>
      <c r="E19" s="3413"/>
      <c r="F19" s="2929" t="s">
        <v>503</v>
      </c>
      <c r="G19" s="2930"/>
      <c r="H19" s="2929"/>
      <c r="I19" s="2929"/>
      <c r="J19" s="2929"/>
      <c r="K19" s="2929"/>
      <c r="L19" s="2929"/>
      <c r="M19" s="2929"/>
      <c r="N19" s="2931"/>
      <c r="O19" s="2932">
        <f>SUM(O20:O20)</f>
        <v>89380000</v>
      </c>
      <c r="P19" s="653">
        <f>O19</f>
        <v>89380000</v>
      </c>
      <c r="Q19" s="1089">
        <v>73495000</v>
      </c>
      <c r="R19" s="1090">
        <f>+P19-Q19</f>
        <v>15885000</v>
      </c>
      <c r="S19" s="2944">
        <f t="shared" ref="S19" si="6">+R19/Q19</f>
        <v>0.21613715218722362</v>
      </c>
    </row>
    <row r="20" spans="1:19" ht="15" customHeight="1">
      <c r="A20" s="778"/>
      <c r="B20" s="786"/>
      <c r="C20" s="786"/>
      <c r="D20" s="786"/>
      <c r="E20" s="1572"/>
      <c r="F20" s="656" t="s">
        <v>504</v>
      </c>
      <c r="G20" s="967">
        <v>89380000</v>
      </c>
      <c r="H20" s="845" t="s">
        <v>51</v>
      </c>
      <c r="I20" s="2945">
        <v>1</v>
      </c>
      <c r="J20" s="648"/>
      <c r="K20" s="969"/>
      <c r="L20" s="648"/>
      <c r="M20" s="648"/>
      <c r="N20" s="817" t="s">
        <v>154</v>
      </c>
      <c r="O20" s="970">
        <f>G20</f>
        <v>89380000</v>
      </c>
      <c r="P20" s="858"/>
      <c r="Q20" s="858"/>
      <c r="R20" s="859"/>
      <c r="S20" s="891"/>
    </row>
    <row r="21" spans="1:19" s="1137" customFormat="1" ht="15" customHeight="1">
      <c r="A21" s="1166"/>
      <c r="B21" s="3707" t="s">
        <v>27</v>
      </c>
      <c r="C21" s="3708"/>
      <c r="D21" s="3708"/>
      <c r="E21" s="3708"/>
      <c r="F21" s="3708"/>
      <c r="G21" s="3708"/>
      <c r="H21" s="3708"/>
      <c r="I21" s="3708"/>
      <c r="J21" s="3708"/>
      <c r="K21" s="3708"/>
      <c r="L21" s="3708"/>
      <c r="M21" s="3708"/>
      <c r="N21" s="3708"/>
      <c r="O21" s="3709"/>
      <c r="P21" s="1140">
        <f>P22</f>
        <v>750000</v>
      </c>
      <c r="Q21" s="1140">
        <v>0</v>
      </c>
      <c r="R21" s="1141">
        <f>+P21-Q21</f>
        <v>750000</v>
      </c>
      <c r="S21" s="1142"/>
    </row>
    <row r="22" spans="1:19" s="1137" customFormat="1" ht="15" customHeight="1">
      <c r="A22" s="1166"/>
      <c r="B22" s="1139"/>
      <c r="C22" s="3707" t="s">
        <v>28</v>
      </c>
      <c r="D22" s="3708"/>
      <c r="E22" s="3708"/>
      <c r="F22" s="3708"/>
      <c r="G22" s="3708"/>
      <c r="H22" s="3708"/>
      <c r="I22" s="3708"/>
      <c r="J22" s="3708"/>
      <c r="K22" s="3708"/>
      <c r="L22" s="3708"/>
      <c r="M22" s="3708"/>
      <c r="N22" s="3708"/>
      <c r="O22" s="3709"/>
      <c r="P22" s="1140">
        <f>P23</f>
        <v>750000</v>
      </c>
      <c r="Q22" s="1140">
        <v>0</v>
      </c>
      <c r="R22" s="1141">
        <f>+P22-Q22</f>
        <v>750000</v>
      </c>
      <c r="S22" s="1142"/>
    </row>
    <row r="23" spans="1:19" s="1137" customFormat="1" ht="15" customHeight="1">
      <c r="A23" s="1166"/>
      <c r="B23" s="1139"/>
      <c r="C23" s="1143"/>
      <c r="D23" s="1144" t="s">
        <v>29</v>
      </c>
      <c r="E23" s="3296"/>
      <c r="F23" s="1145"/>
      <c r="G23" s="1146"/>
      <c r="H23" s="1145"/>
      <c r="I23" s="1145"/>
      <c r="J23" s="1145"/>
      <c r="K23" s="1145"/>
      <c r="L23" s="1145"/>
      <c r="M23" s="1145"/>
      <c r="N23" s="1147"/>
      <c r="O23" s="1145"/>
      <c r="P23" s="1148">
        <f>SUM(P24)</f>
        <v>750000</v>
      </c>
      <c r="Q23" s="1148">
        <v>0</v>
      </c>
      <c r="R23" s="1149">
        <f>+P23-Q23</f>
        <v>750000</v>
      </c>
      <c r="S23" s="1150"/>
    </row>
    <row r="24" spans="1:19" s="1137" customFormat="1" ht="15" customHeight="1">
      <c r="A24" s="1166"/>
      <c r="B24" s="1139"/>
      <c r="C24" s="1143"/>
      <c r="D24" s="1167"/>
      <c r="E24" s="3637" t="s">
        <v>177</v>
      </c>
      <c r="F24" s="3638"/>
      <c r="G24" s="3638"/>
      <c r="H24" s="3638"/>
      <c r="I24" s="3638"/>
      <c r="J24" s="3638"/>
      <c r="K24" s="3638"/>
      <c r="L24" s="3638"/>
      <c r="M24" s="3638"/>
      <c r="N24" s="3638"/>
      <c r="O24" s="3639"/>
      <c r="P24" s="1154">
        <f>O25</f>
        <v>750000</v>
      </c>
      <c r="Q24" s="1154">
        <v>0</v>
      </c>
      <c r="R24" s="1155">
        <f>+P24-Q24</f>
        <v>750000</v>
      </c>
      <c r="S24" s="1288"/>
    </row>
    <row r="25" spans="1:19" s="1137" customFormat="1" ht="15" customHeight="1">
      <c r="A25" s="1166"/>
      <c r="B25" s="1139"/>
      <c r="C25" s="1168"/>
      <c r="D25" s="1139"/>
      <c r="E25" s="3377"/>
      <c r="F25" s="679" t="s">
        <v>31</v>
      </c>
      <c r="G25" s="686"/>
      <c r="H25" s="679"/>
      <c r="I25" s="679"/>
      <c r="J25" s="679"/>
      <c r="K25" s="679"/>
      <c r="L25" s="679"/>
      <c r="M25" s="679"/>
      <c r="N25" s="687"/>
      <c r="O25" s="681">
        <f>SUM(O26)</f>
        <v>750000</v>
      </c>
      <c r="P25" s="653">
        <v>750000</v>
      </c>
      <c r="Q25" s="653">
        <v>0</v>
      </c>
      <c r="R25" s="654">
        <f>+P25-Q25</f>
        <v>750000</v>
      </c>
      <c r="S25" s="688"/>
    </row>
    <row r="26" spans="1:19" s="1137" customFormat="1" ht="15" customHeight="1" thickBot="1">
      <c r="A26" s="1169"/>
      <c r="B26" s="1170"/>
      <c r="C26" s="1171"/>
      <c r="D26" s="1170"/>
      <c r="E26" s="3415"/>
      <c r="F26" s="902" t="s">
        <v>2039</v>
      </c>
      <c r="G26" s="769">
        <v>750000</v>
      </c>
      <c r="H26" s="1395" t="s">
        <v>51</v>
      </c>
      <c r="I26" s="1103">
        <v>1</v>
      </c>
      <c r="J26" s="904"/>
      <c r="K26" s="906"/>
      <c r="L26" s="904"/>
      <c r="M26" s="904"/>
      <c r="N26" s="907" t="s">
        <v>22</v>
      </c>
      <c r="O26" s="908">
        <v>750000</v>
      </c>
      <c r="P26" s="909"/>
      <c r="Q26" s="909"/>
      <c r="R26" s="910"/>
      <c r="S26" s="911"/>
    </row>
    <row r="27" spans="1:19" ht="12" customHeight="1">
      <c r="F27" s="845"/>
      <c r="Q27" s="842"/>
    </row>
    <row r="28" spans="1:19" ht="12" customHeight="1">
      <c r="Q28" s="842"/>
    </row>
    <row r="29" spans="1:19" ht="12" customHeight="1">
      <c r="Q29" s="842"/>
    </row>
    <row r="30" spans="1:19" ht="12" customHeight="1">
      <c r="Q30" s="842"/>
    </row>
    <row r="31" spans="1:19" ht="12" customHeight="1">
      <c r="Q31" s="842"/>
    </row>
    <row r="32" spans="1:19" ht="12" customHeight="1">
      <c r="Q32" s="842"/>
    </row>
    <row r="33" spans="14:17" ht="12" customHeight="1">
      <c r="Q33" s="842"/>
    </row>
    <row r="34" spans="14:17" ht="12" customHeight="1">
      <c r="Q34" s="842"/>
    </row>
    <row r="35" spans="14:17" ht="12" customHeight="1">
      <c r="Q35" s="842"/>
    </row>
    <row r="36" spans="14:17" ht="12" customHeight="1">
      <c r="Q36" s="842"/>
    </row>
    <row r="37" spans="14:17" ht="12" customHeight="1">
      <c r="Q37" s="842"/>
    </row>
    <row r="38" spans="14:17" ht="12" customHeight="1"/>
    <row r="39" spans="14:17" ht="12" customHeight="1"/>
    <row r="40" spans="14:17" ht="12" customHeight="1"/>
    <row r="41" spans="14:17" ht="12" customHeight="1"/>
    <row r="42" spans="14:17" ht="12" customHeight="1"/>
    <row r="43" spans="14:17" ht="12" customHeight="1"/>
    <row r="44" spans="14:17" ht="12" customHeight="1"/>
    <row r="45" spans="14:17" ht="12" customHeight="1"/>
    <row r="46" spans="14:17" ht="12" customHeight="1">
      <c r="N46" s="922"/>
    </row>
    <row r="47" spans="14:17" ht="12" customHeight="1"/>
    <row r="48" spans="14:1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112" spans="11:11">
      <c r="K112" s="128" t="s">
        <v>2981</v>
      </c>
    </row>
  </sheetData>
  <mergeCells count="17">
    <mergeCell ref="E24:O24"/>
    <mergeCell ref="C22:O22"/>
    <mergeCell ref="C12:O12"/>
    <mergeCell ref="C7:O7"/>
    <mergeCell ref="B21:O21"/>
    <mergeCell ref="E14:O14"/>
    <mergeCell ref="E18:O18"/>
    <mergeCell ref="B6:O6"/>
    <mergeCell ref="E9:O9"/>
    <mergeCell ref="A1:S1"/>
    <mergeCell ref="R2:S2"/>
    <mergeCell ref="A3:E3"/>
    <mergeCell ref="G3:O4"/>
    <mergeCell ref="P3:P4"/>
    <mergeCell ref="Q3:Q4"/>
    <mergeCell ref="R3:R4"/>
    <mergeCell ref="S3:S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fitToHeight="0" orientation="landscape" r:id="rId1"/>
  <headerFooter scaleWithDoc="0"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99FF"/>
    <pageSetUpPr fitToPage="1"/>
  </sheetPr>
  <dimension ref="A1:V112"/>
  <sheetViews>
    <sheetView view="pageBreakPreview" zoomScale="85" zoomScaleNormal="86" zoomScaleSheetLayoutView="85" workbookViewId="0">
      <pane xSplit="3" ySplit="7" topLeftCell="D8" activePane="bottomRight" state="frozen"/>
      <selection activeCell="O40" sqref="O39:O40"/>
      <selection pane="topRight" activeCell="O40" sqref="O39:O40"/>
      <selection pane="bottomLeft" activeCell="O40" sqref="O39:O40"/>
      <selection pane="bottomRight" activeCell="K24" sqref="K24"/>
    </sheetView>
  </sheetViews>
  <sheetFormatPr defaultColWidth="9" defaultRowHeight="16.5"/>
  <cols>
    <col min="1" max="1" width="3.625" style="128" customWidth="1"/>
    <col min="2" max="4" width="3.625" style="839" customWidth="1"/>
    <col min="5" max="5" width="10.625" style="3410" customWidth="1"/>
    <col min="6" max="6" width="20.625" style="128" customWidth="1"/>
    <col min="7" max="7" width="13.25" style="840" bestFit="1" customWidth="1"/>
    <col min="8" max="8" width="2.125" style="128" customWidth="1"/>
    <col min="9" max="9" width="5.375" style="128" customWidth="1"/>
    <col min="10" max="10" width="2.125" style="128" customWidth="1"/>
    <col min="11" max="11" width="4.875" style="128" bestFit="1" customWidth="1"/>
    <col min="12" max="12" width="2.75" style="128" customWidth="1"/>
    <col min="13" max="13" width="4.875" style="128" bestFit="1" customWidth="1"/>
    <col min="14" max="14" width="2.625" style="841" customWidth="1"/>
    <col min="15" max="15" width="12.625" style="128" customWidth="1"/>
    <col min="16" max="16" width="10.625" style="842" customWidth="1"/>
    <col min="17" max="18" width="10.625" style="843" customWidth="1"/>
    <col min="19" max="19" width="10.625" style="1403" customWidth="1"/>
    <col min="20" max="20" width="9" style="128"/>
    <col min="21" max="22" width="10.75" style="128" bestFit="1" customWidth="1"/>
    <col min="23" max="16384" width="9" style="128"/>
  </cols>
  <sheetData>
    <row r="1" spans="1:22" ht="35.1" customHeight="1">
      <c r="A1" s="3679" t="s">
        <v>2102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</row>
    <row r="2" spans="1:22" ht="15" customHeight="1" thickBot="1">
      <c r="A2" s="128" t="s">
        <v>517</v>
      </c>
      <c r="E2" s="845"/>
      <c r="R2" s="3680" t="s">
        <v>518</v>
      </c>
      <c r="S2" s="3680"/>
    </row>
    <row r="3" spans="1:22" s="841" customFormat="1" ht="15" customHeight="1">
      <c r="A3" s="3693" t="s">
        <v>519</v>
      </c>
      <c r="B3" s="3694"/>
      <c r="C3" s="3694"/>
      <c r="D3" s="3694"/>
      <c r="E3" s="3694"/>
      <c r="F3" s="982"/>
      <c r="G3" s="3695" t="s">
        <v>520</v>
      </c>
      <c r="H3" s="3695"/>
      <c r="I3" s="3695"/>
      <c r="J3" s="3695"/>
      <c r="K3" s="3695"/>
      <c r="L3" s="3695"/>
      <c r="M3" s="3695"/>
      <c r="N3" s="3695"/>
      <c r="O3" s="3696"/>
      <c r="P3" s="3699" t="s">
        <v>521</v>
      </c>
      <c r="Q3" s="3701" t="s">
        <v>522</v>
      </c>
      <c r="R3" s="3736" t="s">
        <v>523</v>
      </c>
      <c r="S3" s="3738" t="s">
        <v>524</v>
      </c>
    </row>
    <row r="4" spans="1:22" s="841" customFormat="1" ht="15" customHeight="1" thickBot="1">
      <c r="A4" s="983" t="s">
        <v>525</v>
      </c>
      <c r="B4" s="984" t="s">
        <v>526</v>
      </c>
      <c r="C4" s="984" t="s">
        <v>527</v>
      </c>
      <c r="D4" s="984" t="s">
        <v>528</v>
      </c>
      <c r="E4" s="984" t="s">
        <v>529</v>
      </c>
      <c r="F4" s="985" t="s">
        <v>530</v>
      </c>
      <c r="G4" s="3697"/>
      <c r="H4" s="3697"/>
      <c r="I4" s="3697"/>
      <c r="J4" s="3697"/>
      <c r="K4" s="3697"/>
      <c r="L4" s="3697"/>
      <c r="M4" s="3697"/>
      <c r="N4" s="3697"/>
      <c r="O4" s="3698"/>
      <c r="P4" s="3700"/>
      <c r="Q4" s="3702"/>
      <c r="R4" s="3737"/>
      <c r="S4" s="3739"/>
    </row>
    <row r="5" spans="1:22" ht="15" customHeight="1" thickBot="1">
      <c r="A5" s="609" t="s">
        <v>531</v>
      </c>
      <c r="B5" s="610"/>
      <c r="C5" s="611"/>
      <c r="D5" s="611"/>
      <c r="E5" s="611"/>
      <c r="F5" s="611"/>
      <c r="G5" s="612"/>
      <c r="H5" s="611"/>
      <c r="I5" s="611"/>
      <c r="J5" s="611"/>
      <c r="K5" s="611"/>
      <c r="L5" s="611"/>
      <c r="M5" s="611"/>
      <c r="N5" s="613"/>
      <c r="O5" s="611"/>
      <c r="P5" s="614">
        <f>P6</f>
        <v>91355000</v>
      </c>
      <c r="Q5" s="614">
        <f>Q6</f>
        <v>69780000</v>
      </c>
      <c r="R5" s="2914">
        <f t="shared" ref="R5:R10" si="0">+P5-Q5</f>
        <v>21575000</v>
      </c>
      <c r="S5" s="777">
        <f t="shared" ref="S5:S10" si="1">+R5/Q5</f>
        <v>0.30918601318429351</v>
      </c>
      <c r="U5" s="128">
        <v>91355000</v>
      </c>
      <c r="V5" s="128">
        <v>69780000</v>
      </c>
    </row>
    <row r="6" spans="1:22" ht="15" customHeight="1">
      <c r="A6" s="778"/>
      <c r="B6" s="779" t="s">
        <v>532</v>
      </c>
      <c r="C6" s="780"/>
      <c r="D6" s="780"/>
      <c r="E6" s="863"/>
      <c r="F6" s="863"/>
      <c r="G6" s="864"/>
      <c r="H6" s="863"/>
      <c r="I6" s="863"/>
      <c r="J6" s="863"/>
      <c r="K6" s="863"/>
      <c r="L6" s="863"/>
      <c r="M6" s="863"/>
      <c r="N6" s="865"/>
      <c r="O6" s="863"/>
      <c r="P6" s="866">
        <f>P7+P12</f>
        <v>91355000</v>
      </c>
      <c r="Q6" s="866">
        <f>Q7+Q12</f>
        <v>69780000</v>
      </c>
      <c r="R6" s="866">
        <f t="shared" si="0"/>
        <v>21575000</v>
      </c>
      <c r="S6" s="2915">
        <f t="shared" si="1"/>
        <v>0.30918601318429351</v>
      </c>
      <c r="U6" s="1120">
        <f>P5-U5</f>
        <v>0</v>
      </c>
      <c r="V6" s="1120">
        <f>Q5-V5</f>
        <v>0</v>
      </c>
    </row>
    <row r="7" spans="1:22" ht="15" customHeight="1">
      <c r="A7" s="778"/>
      <c r="B7" s="844"/>
      <c r="C7" s="3685" t="s">
        <v>3185</v>
      </c>
      <c r="D7" s="3686"/>
      <c r="E7" s="3686"/>
      <c r="F7" s="3686"/>
      <c r="G7" s="3686"/>
      <c r="H7" s="3686"/>
      <c r="I7" s="3686"/>
      <c r="J7" s="3686"/>
      <c r="K7" s="3686"/>
      <c r="L7" s="3686"/>
      <c r="M7" s="3686"/>
      <c r="N7" s="3686"/>
      <c r="O7" s="3687"/>
      <c r="P7" s="872">
        <f>P8</f>
        <v>2800000</v>
      </c>
      <c r="Q7" s="872">
        <f>Q8</f>
        <v>2400000</v>
      </c>
      <c r="R7" s="872">
        <f t="shared" si="0"/>
        <v>400000</v>
      </c>
      <c r="S7" s="2916">
        <f t="shared" si="1"/>
        <v>0.16666666666666666</v>
      </c>
    </row>
    <row r="8" spans="1:22" ht="15" customHeight="1">
      <c r="A8" s="778"/>
      <c r="B8" s="786"/>
      <c r="C8" s="844"/>
      <c r="D8" s="684" t="s">
        <v>373</v>
      </c>
      <c r="E8" s="2229"/>
      <c r="F8" s="635"/>
      <c r="G8" s="636"/>
      <c r="H8" s="635"/>
      <c r="I8" s="635"/>
      <c r="J8" s="635"/>
      <c r="K8" s="635"/>
      <c r="L8" s="635"/>
      <c r="M8" s="635"/>
      <c r="N8" s="637"/>
      <c r="O8" s="635"/>
      <c r="P8" s="638">
        <f>P9</f>
        <v>2800000</v>
      </c>
      <c r="Q8" s="638">
        <f>Q9</f>
        <v>2400000</v>
      </c>
      <c r="R8" s="638">
        <f t="shared" si="0"/>
        <v>400000</v>
      </c>
      <c r="S8" s="794">
        <f t="shared" si="1"/>
        <v>0.16666666666666666</v>
      </c>
    </row>
    <row r="9" spans="1:22" ht="15" customHeight="1">
      <c r="A9" s="778"/>
      <c r="B9" s="786"/>
      <c r="C9" s="786"/>
      <c r="D9" s="844"/>
      <c r="E9" s="3637" t="s">
        <v>162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9"/>
      <c r="P9" s="645">
        <f>O10</f>
        <v>2800000</v>
      </c>
      <c r="Q9" s="645">
        <v>2400000</v>
      </c>
      <c r="R9" s="645">
        <f t="shared" si="0"/>
        <v>400000</v>
      </c>
      <c r="S9" s="798">
        <f t="shared" si="1"/>
        <v>0.16666666666666666</v>
      </c>
    </row>
    <row r="10" spans="1:22" ht="15" customHeight="1">
      <c r="A10" s="778"/>
      <c r="B10" s="786"/>
      <c r="C10" s="1368"/>
      <c r="D10" s="1368"/>
      <c r="E10" s="3411"/>
      <c r="F10" s="2917" t="s">
        <v>533</v>
      </c>
      <c r="G10" s="2918"/>
      <c r="H10" s="2917"/>
      <c r="I10" s="2917"/>
      <c r="J10" s="2917"/>
      <c r="K10" s="2917"/>
      <c r="L10" s="2917"/>
      <c r="M10" s="2917"/>
      <c r="N10" s="2919"/>
      <c r="O10" s="2920">
        <f>SUM(O11:O11)</f>
        <v>2800000</v>
      </c>
      <c r="P10" s="1039">
        <v>2800000</v>
      </c>
      <c r="Q10" s="1039">
        <v>2400000</v>
      </c>
      <c r="R10" s="1039">
        <f t="shared" si="0"/>
        <v>400000</v>
      </c>
      <c r="S10" s="805">
        <f t="shared" si="1"/>
        <v>0.16666666666666666</v>
      </c>
    </row>
    <row r="11" spans="1:22" ht="15" customHeight="1">
      <c r="A11" s="778"/>
      <c r="B11" s="786"/>
      <c r="C11" s="786"/>
      <c r="D11" s="846"/>
      <c r="E11" s="3412"/>
      <c r="F11" s="1276" t="s">
        <v>534</v>
      </c>
      <c r="G11" s="2921">
        <v>233333.33</v>
      </c>
      <c r="H11" s="2922" t="s">
        <v>21</v>
      </c>
      <c r="I11" s="2923">
        <v>12</v>
      </c>
      <c r="J11" s="792"/>
      <c r="K11" s="2924"/>
      <c r="L11" s="792"/>
      <c r="M11" s="885"/>
      <c r="N11" s="811" t="s">
        <v>536</v>
      </c>
      <c r="O11" s="2925">
        <f>ROUNDUP(G11*I11,-3)</f>
        <v>2800000</v>
      </c>
      <c r="P11" s="858"/>
      <c r="Q11" s="858"/>
      <c r="R11" s="858"/>
      <c r="S11" s="860"/>
    </row>
    <row r="12" spans="1:22" ht="15" customHeight="1">
      <c r="A12" s="778"/>
      <c r="B12" s="786"/>
      <c r="C12" s="3685" t="s">
        <v>537</v>
      </c>
      <c r="D12" s="3686"/>
      <c r="E12" s="3686"/>
      <c r="F12" s="3686"/>
      <c r="G12" s="3686"/>
      <c r="H12" s="3686"/>
      <c r="I12" s="3686"/>
      <c r="J12" s="3686"/>
      <c r="K12" s="3686"/>
      <c r="L12" s="3686"/>
      <c r="M12" s="3686"/>
      <c r="N12" s="3686"/>
      <c r="O12" s="3687"/>
      <c r="P12" s="872">
        <f>P13+P17</f>
        <v>88555000</v>
      </c>
      <c r="Q12" s="872">
        <f>Q13+Q17</f>
        <v>67380000</v>
      </c>
      <c r="R12" s="872">
        <f>+P12-Q12</f>
        <v>21175000</v>
      </c>
      <c r="S12" s="2916">
        <f>+R12/Q12</f>
        <v>0.31426239240130605</v>
      </c>
    </row>
    <row r="13" spans="1:22" ht="15" customHeight="1">
      <c r="A13" s="778"/>
      <c r="B13" s="786"/>
      <c r="C13" s="792"/>
      <c r="D13" s="684" t="s">
        <v>538</v>
      </c>
      <c r="E13" s="2229"/>
      <c r="F13" s="635"/>
      <c r="G13" s="636"/>
      <c r="H13" s="635"/>
      <c r="I13" s="635"/>
      <c r="J13" s="635"/>
      <c r="K13" s="635"/>
      <c r="L13" s="635"/>
      <c r="M13" s="635"/>
      <c r="N13" s="637"/>
      <c r="O13" s="635"/>
      <c r="P13" s="638">
        <f>P14</f>
        <v>10000</v>
      </c>
      <c r="Q13" s="638">
        <f>Q14</f>
        <v>10000</v>
      </c>
      <c r="R13" s="638">
        <f>+P13-Q13</f>
        <v>0</v>
      </c>
      <c r="S13" s="794">
        <f>+R13/Q13</f>
        <v>0</v>
      </c>
    </row>
    <row r="14" spans="1:22" ht="15" customHeight="1">
      <c r="A14" s="778"/>
      <c r="B14" s="786"/>
      <c r="C14" s="792"/>
      <c r="D14" s="844"/>
      <c r="E14" s="3637" t="s">
        <v>167</v>
      </c>
      <c r="F14" s="3638"/>
      <c r="G14" s="3638"/>
      <c r="H14" s="3638"/>
      <c r="I14" s="3638"/>
      <c r="J14" s="3638"/>
      <c r="K14" s="3638"/>
      <c r="L14" s="3638"/>
      <c r="M14" s="3638"/>
      <c r="N14" s="3638"/>
      <c r="O14" s="3639"/>
      <c r="P14" s="645">
        <f>ROUNDUP(O15,-3)</f>
        <v>10000</v>
      </c>
      <c r="Q14" s="645">
        <v>10000</v>
      </c>
      <c r="R14" s="645">
        <f>+P14-Q14</f>
        <v>0</v>
      </c>
      <c r="S14" s="798">
        <f>+R14/Q14</f>
        <v>0</v>
      </c>
    </row>
    <row r="15" spans="1:22" ht="15" customHeight="1">
      <c r="A15" s="778"/>
      <c r="B15" s="786"/>
      <c r="C15" s="897"/>
      <c r="D15" s="786"/>
      <c r="F15" s="1035" t="s">
        <v>539</v>
      </c>
      <c r="G15" s="1036"/>
      <c r="H15" s="1035"/>
      <c r="I15" s="1035"/>
      <c r="J15" s="1035"/>
      <c r="K15" s="1035"/>
      <c r="L15" s="1035"/>
      <c r="M15" s="1035"/>
      <c r="N15" s="1037"/>
      <c r="O15" s="1134">
        <f>SUM(O16:O16)</f>
        <v>10000</v>
      </c>
      <c r="P15" s="1039">
        <v>10000</v>
      </c>
      <c r="Q15" s="1039">
        <v>10000</v>
      </c>
      <c r="R15" s="1039">
        <f>+P15-Q15</f>
        <v>0</v>
      </c>
      <c r="S15" s="805">
        <f>+R15/Q15</f>
        <v>0</v>
      </c>
    </row>
    <row r="16" spans="1:22" ht="15" customHeight="1">
      <c r="A16" s="778"/>
      <c r="B16" s="786"/>
      <c r="C16" s="897"/>
      <c r="D16" s="846"/>
      <c r="E16" s="3412"/>
      <c r="F16" s="1276" t="s">
        <v>540</v>
      </c>
      <c r="G16" s="2926">
        <v>10000</v>
      </c>
      <c r="H16" s="792" t="s">
        <v>535</v>
      </c>
      <c r="I16" s="2927">
        <v>1</v>
      </c>
      <c r="J16" s="792"/>
      <c r="K16" s="885"/>
      <c r="L16" s="792"/>
      <c r="M16" s="792"/>
      <c r="N16" s="811" t="s">
        <v>536</v>
      </c>
      <c r="O16" s="818">
        <f>G16*I16</f>
        <v>10000</v>
      </c>
      <c r="P16" s="813"/>
      <c r="Q16" s="813"/>
      <c r="R16" s="813"/>
      <c r="S16" s="2928"/>
    </row>
    <row r="17" spans="1:19" ht="15" customHeight="1">
      <c r="A17" s="778"/>
      <c r="B17" s="786"/>
      <c r="C17" s="792"/>
      <c r="D17" s="684" t="s">
        <v>541</v>
      </c>
      <c r="E17" s="2229"/>
      <c r="F17" s="635"/>
      <c r="G17" s="636"/>
      <c r="H17" s="635"/>
      <c r="I17" s="635"/>
      <c r="J17" s="635"/>
      <c r="K17" s="635"/>
      <c r="L17" s="635"/>
      <c r="M17" s="635"/>
      <c r="N17" s="637"/>
      <c r="O17" s="635"/>
      <c r="P17" s="638">
        <f>P18</f>
        <v>88545000</v>
      </c>
      <c r="Q17" s="638">
        <f>Q18</f>
        <v>67370000</v>
      </c>
      <c r="R17" s="638">
        <f>+P17-Q17</f>
        <v>21175000</v>
      </c>
      <c r="S17" s="794">
        <f>+R17/Q17</f>
        <v>0.31430903963188361</v>
      </c>
    </row>
    <row r="18" spans="1:19" ht="15" customHeight="1">
      <c r="A18" s="778"/>
      <c r="B18" s="786"/>
      <c r="C18" s="792"/>
      <c r="D18" s="844"/>
      <c r="E18" s="3297" t="s">
        <v>2995</v>
      </c>
      <c r="F18" s="795"/>
      <c r="G18" s="796"/>
      <c r="H18" s="795"/>
      <c r="I18" s="795"/>
      <c r="J18" s="795"/>
      <c r="K18" s="795"/>
      <c r="L18" s="795"/>
      <c r="M18" s="795"/>
      <c r="N18" s="797"/>
      <c r="O18" s="795"/>
      <c r="P18" s="645">
        <f>ROUNDDOWN(O19,-3)</f>
        <v>88545000</v>
      </c>
      <c r="Q18" s="645">
        <v>67370000</v>
      </c>
      <c r="R18" s="645">
        <f>+P18-Q18</f>
        <v>21175000</v>
      </c>
      <c r="S18" s="798">
        <f>+R18/Q18</f>
        <v>0.31430903963188361</v>
      </c>
    </row>
    <row r="19" spans="1:19" ht="15" customHeight="1">
      <c r="A19" s="778"/>
      <c r="B19" s="786"/>
      <c r="C19" s="792"/>
      <c r="D19" s="786"/>
      <c r="E19" s="3413"/>
      <c r="F19" s="2929" t="s">
        <v>542</v>
      </c>
      <c r="G19" s="2930"/>
      <c r="H19" s="2929"/>
      <c r="I19" s="2929"/>
      <c r="J19" s="2929"/>
      <c r="K19" s="2929"/>
      <c r="L19" s="2929"/>
      <c r="M19" s="2929"/>
      <c r="N19" s="2931"/>
      <c r="O19" s="2932">
        <f>SUM(O20:O20)</f>
        <v>88545000</v>
      </c>
      <c r="P19" s="653">
        <f>O19</f>
        <v>88545000</v>
      </c>
      <c r="Q19" s="1089">
        <v>67370000</v>
      </c>
      <c r="R19" s="1089">
        <f>+P19-Q19</f>
        <v>21175000</v>
      </c>
      <c r="S19" s="2933">
        <f>+R19/Q19</f>
        <v>0.31430903963188361</v>
      </c>
    </row>
    <row r="20" spans="1:19" ht="15" customHeight="1" thickBot="1">
      <c r="A20" s="898"/>
      <c r="B20" s="899"/>
      <c r="C20" s="900"/>
      <c r="D20" s="899"/>
      <c r="E20" s="3414"/>
      <c r="F20" s="768" t="s">
        <v>543</v>
      </c>
      <c r="G20" s="769">
        <v>88545000</v>
      </c>
      <c r="H20" s="599" t="s">
        <v>544</v>
      </c>
      <c r="I20" s="2934" t="s">
        <v>545</v>
      </c>
      <c r="J20" s="599"/>
      <c r="K20" s="771"/>
      <c r="L20" s="599"/>
      <c r="M20" s="599"/>
      <c r="N20" s="602" t="s">
        <v>536</v>
      </c>
      <c r="O20" s="2935">
        <f>G20</f>
        <v>88545000</v>
      </c>
      <c r="P20" s="1399"/>
      <c r="Q20" s="1399"/>
      <c r="R20" s="1399"/>
      <c r="S20" s="2936"/>
    </row>
    <row r="21" spans="1:19" ht="12" customHeight="1">
      <c r="Q21" s="842"/>
    </row>
    <row r="22" spans="1:19" ht="12" customHeight="1">
      <c r="Q22" s="842"/>
    </row>
    <row r="23" spans="1:19" ht="23.25" customHeight="1">
      <c r="Q23" s="842"/>
    </row>
    <row r="24" spans="1:19" ht="13.5" customHeight="1">
      <c r="Q24" s="842"/>
    </row>
    <row r="25" spans="1:19" ht="12" customHeight="1">
      <c r="Q25" s="842"/>
    </row>
    <row r="26" spans="1:19" ht="12" customHeight="1">
      <c r="Q26" s="842"/>
    </row>
    <row r="27" spans="1:19" ht="12" customHeight="1">
      <c r="F27" s="845"/>
      <c r="Q27" s="842"/>
    </row>
    <row r="28" spans="1:19" ht="12" customHeight="1">
      <c r="Q28" s="842"/>
    </row>
    <row r="29" spans="1:19" ht="12" customHeight="1">
      <c r="Q29" s="842"/>
    </row>
    <row r="30" spans="1:19" ht="12" customHeight="1">
      <c r="Q30" s="842"/>
    </row>
    <row r="31" spans="1:19" ht="12" customHeight="1">
      <c r="Q31" s="842"/>
    </row>
    <row r="32" spans="1:19" ht="12" customHeight="1"/>
    <row r="33" spans="14:14" ht="12" customHeight="1"/>
    <row r="34" spans="14:14" ht="12" customHeight="1"/>
    <row r="35" spans="14:14" ht="12" customHeight="1"/>
    <row r="36" spans="14:14" ht="12" customHeight="1"/>
    <row r="37" spans="14:14" ht="12" customHeight="1"/>
    <row r="38" spans="14:14" ht="12" customHeight="1"/>
    <row r="39" spans="14:14" ht="12" customHeight="1"/>
    <row r="40" spans="14:14" ht="12" customHeight="1"/>
    <row r="41" spans="14:14" ht="12" customHeight="1"/>
    <row r="42" spans="14:14" ht="12" customHeight="1"/>
    <row r="43" spans="14:14" ht="12" customHeight="1"/>
    <row r="44" spans="14:14" ht="12" customHeight="1"/>
    <row r="45" spans="14:14" ht="12" customHeight="1"/>
    <row r="46" spans="14:14" ht="12" customHeight="1">
      <c r="N46" s="922"/>
    </row>
    <row r="47" spans="14:14" ht="12" customHeight="1"/>
    <row r="48" spans="14:14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112" spans="11:11">
      <c r="K112" s="128" t="s">
        <v>2981</v>
      </c>
    </row>
  </sheetData>
  <mergeCells count="12">
    <mergeCell ref="E9:O9"/>
    <mergeCell ref="E14:O14"/>
    <mergeCell ref="C12:O12"/>
    <mergeCell ref="C7:O7"/>
    <mergeCell ref="A1:S1"/>
    <mergeCell ref="R2:S2"/>
    <mergeCell ref="A3:E3"/>
    <mergeCell ref="G3:O4"/>
    <mergeCell ref="P3:P4"/>
    <mergeCell ref="Q3:Q4"/>
    <mergeCell ref="R3:R4"/>
    <mergeCell ref="S3:S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  <headerFooter scaleWithDoc="0"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1"/>
    <pageSetUpPr fitToPage="1"/>
  </sheetPr>
  <dimension ref="A11:K12"/>
  <sheetViews>
    <sheetView view="pageBreakPreview" zoomScaleNormal="100" zoomScaleSheetLayoutView="100" workbookViewId="0">
      <selection activeCell="Q27" sqref="Q27:Q28"/>
    </sheetView>
  </sheetViews>
  <sheetFormatPr defaultRowHeight="16.5"/>
  <sheetData>
    <row r="11" spans="1:11" ht="61.5" customHeight="1">
      <c r="A11" s="3563"/>
      <c r="B11" s="3563"/>
      <c r="C11" s="3563"/>
      <c r="D11" s="3563"/>
      <c r="E11" s="3563"/>
      <c r="F11" s="3563"/>
      <c r="G11" s="3563"/>
      <c r="H11" s="3563"/>
      <c r="I11" s="3563"/>
      <c r="J11" s="3563"/>
      <c r="K11" s="3563"/>
    </row>
    <row r="12" spans="1:11" ht="16.5" customHeight="1"/>
  </sheetData>
  <mergeCells count="1">
    <mergeCell ref="A11:K11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scaleWithDoc="0">
    <oddFooter>&amp;C&amp;P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0070C0"/>
    <pageSetUpPr fitToPage="1"/>
  </sheetPr>
  <dimension ref="A1:AB334"/>
  <sheetViews>
    <sheetView view="pageBreakPreview" zoomScaleNormal="85" zoomScaleSheetLayoutView="100" workbookViewId="0">
      <pane ySplit="8" topLeftCell="A180" activePane="bottomLeft" state="frozen"/>
      <selection activeCell="O40" sqref="O39:O40"/>
      <selection pane="bottomLeft" activeCell="Q195" sqref="Q195"/>
    </sheetView>
  </sheetViews>
  <sheetFormatPr defaultColWidth="9" defaultRowHeight="16.5"/>
  <cols>
    <col min="1" max="1" width="3.625" style="495" customWidth="1"/>
    <col min="2" max="4" width="3.625" style="496" customWidth="1"/>
    <col min="5" max="5" width="10.625" style="3386" customWidth="1"/>
    <col min="6" max="6" width="31.375" style="2574" customWidth="1"/>
    <col min="7" max="7" width="16.375" style="497" bestFit="1" customWidth="1"/>
    <col min="8" max="8" width="2.125" style="495" customWidth="1"/>
    <col min="9" max="9" width="7.875" style="495" bestFit="1" customWidth="1"/>
    <col min="10" max="10" width="2.125" style="495" customWidth="1"/>
    <col min="11" max="11" width="6.875" style="495" customWidth="1"/>
    <col min="12" max="12" width="2.625" style="2575" customWidth="1"/>
    <col min="13" max="13" width="5.375" style="495" customWidth="1"/>
    <col min="14" max="14" width="2.75" style="498" customWidth="1"/>
    <col min="15" max="15" width="2.625" style="498" customWidth="1"/>
    <col min="16" max="16" width="15.125" style="495" customWidth="1"/>
    <col min="17" max="17" width="10.625" style="499" customWidth="1"/>
    <col min="18" max="18" width="10.625" style="500" customWidth="1"/>
    <col min="19" max="19" width="10.625" style="2912" customWidth="1"/>
    <col min="20" max="20" width="10.625" style="2913" customWidth="1"/>
    <col min="21" max="21" width="5.625" style="495" customWidth="1"/>
    <col min="22" max="22" width="14.75" style="495" customWidth="1"/>
    <col min="23" max="23" width="14.875" style="495" bestFit="1" customWidth="1"/>
    <col min="24" max="24" width="14.5" style="495" bestFit="1" customWidth="1"/>
    <col min="25" max="25" width="13.375" style="495" bestFit="1" customWidth="1"/>
    <col min="26" max="26" width="12.375" style="495" customWidth="1"/>
    <col min="27" max="27" width="14.25" style="495" customWidth="1"/>
    <col min="28" max="28" width="10.375" style="495" bestFit="1" customWidth="1"/>
    <col min="29" max="16384" width="9" style="495"/>
  </cols>
  <sheetData>
    <row r="1" spans="1:28" ht="35.1" customHeight="1">
      <c r="A1" s="3640" t="s">
        <v>2094</v>
      </c>
      <c r="B1" s="3640"/>
      <c r="C1" s="3640"/>
      <c r="D1" s="3640"/>
      <c r="E1" s="3640"/>
      <c r="F1" s="3640"/>
      <c r="G1" s="3640"/>
      <c r="H1" s="3640"/>
      <c r="I1" s="3640"/>
      <c r="J1" s="3640"/>
      <c r="K1" s="3640"/>
      <c r="L1" s="3640"/>
      <c r="M1" s="3640"/>
      <c r="N1" s="3640"/>
      <c r="O1" s="3640"/>
      <c r="P1" s="3640"/>
      <c r="Q1" s="3640"/>
      <c r="R1" s="3640"/>
      <c r="S1" s="3640"/>
      <c r="T1" s="3640"/>
    </row>
    <row r="2" spans="1:28" ht="15" customHeight="1" thickBot="1">
      <c r="A2" s="495" t="s">
        <v>0</v>
      </c>
      <c r="E2" s="531"/>
      <c r="S2" s="3742" t="s">
        <v>1</v>
      </c>
      <c r="T2" s="3742"/>
    </row>
    <row r="3" spans="1:28" s="498" customFormat="1" ht="14.45" customHeight="1">
      <c r="A3" s="3743" t="s">
        <v>2</v>
      </c>
      <c r="B3" s="3644"/>
      <c r="C3" s="3644"/>
      <c r="D3" s="3644"/>
      <c r="E3" s="3644"/>
      <c r="F3" s="1258"/>
      <c r="G3" s="3645" t="s">
        <v>3</v>
      </c>
      <c r="H3" s="3645"/>
      <c r="I3" s="3645"/>
      <c r="J3" s="3645"/>
      <c r="K3" s="3645"/>
      <c r="L3" s="3645"/>
      <c r="M3" s="3645"/>
      <c r="N3" s="3645"/>
      <c r="O3" s="3645"/>
      <c r="P3" s="3646"/>
      <c r="Q3" s="3649" t="s">
        <v>4</v>
      </c>
      <c r="R3" s="3744" t="s">
        <v>326</v>
      </c>
      <c r="S3" s="3746" t="s">
        <v>5</v>
      </c>
      <c r="T3" s="3655" t="s">
        <v>6</v>
      </c>
    </row>
    <row r="4" spans="1:28" s="498" customFormat="1" ht="14.45" customHeight="1" thickBot="1">
      <c r="A4" s="502" t="s">
        <v>7</v>
      </c>
      <c r="B4" s="503" t="s">
        <v>8</v>
      </c>
      <c r="C4" s="503" t="s">
        <v>9</v>
      </c>
      <c r="D4" s="503" t="s">
        <v>10</v>
      </c>
      <c r="E4" s="503" t="s">
        <v>11</v>
      </c>
      <c r="F4" s="1259" t="s">
        <v>12</v>
      </c>
      <c r="G4" s="3647"/>
      <c r="H4" s="3647"/>
      <c r="I4" s="3647"/>
      <c r="J4" s="3647"/>
      <c r="K4" s="3647"/>
      <c r="L4" s="3647"/>
      <c r="M4" s="3647"/>
      <c r="N4" s="3647"/>
      <c r="O4" s="3647"/>
      <c r="P4" s="3648"/>
      <c r="Q4" s="3650"/>
      <c r="R4" s="3745"/>
      <c r="S4" s="3747"/>
      <c r="T4" s="3656"/>
      <c r="V4" s="2576"/>
    </row>
    <row r="5" spans="1:28" ht="14.45" customHeight="1" thickBot="1">
      <c r="A5" s="2577" t="s">
        <v>34</v>
      </c>
      <c r="B5" s="2578"/>
      <c r="C5" s="2578"/>
      <c r="D5" s="2578"/>
      <c r="E5" s="2578"/>
      <c r="F5" s="2579"/>
      <c r="G5" s="508"/>
      <c r="H5" s="507"/>
      <c r="I5" s="507"/>
      <c r="J5" s="507"/>
      <c r="K5" s="507"/>
      <c r="L5" s="2580"/>
      <c r="M5" s="507"/>
      <c r="N5" s="509"/>
      <c r="O5" s="509"/>
      <c r="P5" s="507"/>
      <c r="Q5" s="510">
        <f>Q6+Q319</f>
        <v>3623469000</v>
      </c>
      <c r="R5" s="510">
        <f>R6+R319</f>
        <v>2212741000</v>
      </c>
      <c r="S5" s="511">
        <f t="shared" ref="S5:S10" si="0">Q5-R5</f>
        <v>1410728000</v>
      </c>
      <c r="T5" s="512">
        <f t="shared" ref="T5:T10" si="1">S5/R5</f>
        <v>0.6375477292642926</v>
      </c>
      <c r="V5" s="495">
        <v>3673386000</v>
      </c>
      <c r="W5" s="495">
        <v>2212741000</v>
      </c>
      <c r="X5" s="2581"/>
      <c r="Y5" s="2582"/>
    </row>
    <row r="6" spans="1:28" ht="14.45" customHeight="1">
      <c r="A6" s="513"/>
      <c r="B6" s="514" t="s">
        <v>35</v>
      </c>
      <c r="C6" s="515"/>
      <c r="D6" s="515"/>
      <c r="E6" s="515"/>
      <c r="F6" s="2583"/>
      <c r="G6" s="517"/>
      <c r="H6" s="516"/>
      <c r="I6" s="516"/>
      <c r="J6" s="516"/>
      <c r="K6" s="516"/>
      <c r="L6" s="2584"/>
      <c r="M6" s="516"/>
      <c r="N6" s="518"/>
      <c r="O6" s="518"/>
      <c r="P6" s="516"/>
      <c r="Q6" s="519">
        <f>Q7+Q206+Q311+Q316</f>
        <v>3623469000</v>
      </c>
      <c r="R6" s="519">
        <f>R7+R206+R311+R316</f>
        <v>2212741000</v>
      </c>
      <c r="S6" s="520">
        <f t="shared" si="0"/>
        <v>1410728000</v>
      </c>
      <c r="T6" s="521">
        <f t="shared" si="1"/>
        <v>0.6375477292642926</v>
      </c>
    </row>
    <row r="7" spans="1:28" ht="14.45" customHeight="1">
      <c r="A7" s="513"/>
      <c r="B7" s="539"/>
      <c r="C7" s="3634" t="s">
        <v>36</v>
      </c>
      <c r="D7" s="3635"/>
      <c r="E7" s="3635"/>
      <c r="F7" s="3635"/>
      <c r="G7" s="3635"/>
      <c r="H7" s="3635"/>
      <c r="I7" s="3635"/>
      <c r="J7" s="3635"/>
      <c r="K7" s="3635"/>
      <c r="L7" s="3635"/>
      <c r="M7" s="3635"/>
      <c r="N7" s="3635"/>
      <c r="O7" s="3635"/>
      <c r="P7" s="3636"/>
      <c r="Q7" s="528">
        <f>Q8+Q70+Q195+Q201</f>
        <v>2694569000</v>
      </c>
      <c r="R7" s="528">
        <f>R8+R70+R195+R201</f>
        <v>1013537000</v>
      </c>
      <c r="S7" s="529">
        <f t="shared" si="0"/>
        <v>1681032000</v>
      </c>
      <c r="T7" s="530">
        <f t="shared" si="1"/>
        <v>1.6585798051773146</v>
      </c>
      <c r="V7" s="2582">
        <f>Q5-V5</f>
        <v>-49917000</v>
      </c>
      <c r="W7" s="2582">
        <f>R5-W5</f>
        <v>0</v>
      </c>
    </row>
    <row r="8" spans="1:28" ht="14.45" customHeight="1">
      <c r="A8" s="513"/>
      <c r="B8" s="522"/>
      <c r="C8" s="531"/>
      <c r="D8" s="2585" t="s">
        <v>37</v>
      </c>
      <c r="E8" s="3387"/>
      <c r="F8" s="2586"/>
      <c r="G8" s="2587"/>
      <c r="H8" s="2263"/>
      <c r="I8" s="2263"/>
      <c r="J8" s="2263"/>
      <c r="K8" s="2263"/>
      <c r="L8" s="2585"/>
      <c r="M8" s="2263"/>
      <c r="N8" s="2588"/>
      <c r="O8" s="2588"/>
      <c r="P8" s="2263"/>
      <c r="Q8" s="2589">
        <f>Q9+Q18+Q66+Q67</f>
        <v>2200111000</v>
      </c>
      <c r="R8" s="2589">
        <f>R9+R18+R66+R67</f>
        <v>569927000</v>
      </c>
      <c r="S8" s="2590">
        <f t="shared" si="0"/>
        <v>1630184000</v>
      </c>
      <c r="T8" s="2591">
        <f t="shared" si="1"/>
        <v>2.8603382538465452</v>
      </c>
    </row>
    <row r="9" spans="1:28" ht="14.45" customHeight="1">
      <c r="A9" s="513"/>
      <c r="B9" s="522"/>
      <c r="C9" s="531"/>
      <c r="D9" s="522"/>
      <c r="E9" s="3637" t="s">
        <v>2996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8"/>
      <c r="P9" s="3639"/>
      <c r="Q9" s="540">
        <f>SUM(P10)</f>
        <v>1288589000</v>
      </c>
      <c r="R9" s="540">
        <f>R10</f>
        <v>350599000</v>
      </c>
      <c r="S9" s="541">
        <f t="shared" si="0"/>
        <v>937990000</v>
      </c>
      <c r="T9" s="542">
        <f t="shared" si="1"/>
        <v>2.6753926850903738</v>
      </c>
      <c r="V9" s="3740" t="s">
        <v>773</v>
      </c>
      <c r="W9" s="3740"/>
      <c r="X9" s="3740"/>
      <c r="Y9" s="3740"/>
      <c r="Z9" s="930"/>
      <c r="AA9" s="3740" t="s">
        <v>774</v>
      </c>
      <c r="AB9" s="3740"/>
    </row>
    <row r="10" spans="1:28" ht="14.45" customHeight="1">
      <c r="A10" s="513"/>
      <c r="B10" s="522"/>
      <c r="C10" s="531"/>
      <c r="D10" s="522"/>
      <c r="F10" s="2592" t="s">
        <v>38</v>
      </c>
      <c r="G10" s="2593"/>
      <c r="H10" s="2594"/>
      <c r="I10" s="2594"/>
      <c r="J10" s="2594"/>
      <c r="K10" s="2594"/>
      <c r="L10" s="2595"/>
      <c r="M10" s="2594"/>
      <c r="N10" s="2596"/>
      <c r="O10" s="2596"/>
      <c r="P10" s="2597">
        <f>SUM(P11:P17)</f>
        <v>1288589000</v>
      </c>
      <c r="Q10" s="653">
        <f>P10</f>
        <v>1288589000</v>
      </c>
      <c r="R10" s="1755">
        <v>350599000</v>
      </c>
      <c r="S10" s="2598">
        <f t="shared" si="0"/>
        <v>937990000</v>
      </c>
      <c r="T10" s="2599">
        <f t="shared" si="1"/>
        <v>2.6753926850903738</v>
      </c>
      <c r="V10" s="962"/>
      <c r="W10" s="962"/>
      <c r="X10" s="962"/>
      <c r="Y10" s="962"/>
      <c r="Z10" s="962"/>
      <c r="AA10" s="962"/>
      <c r="AB10" s="962"/>
    </row>
    <row r="11" spans="1:28" ht="14.45" customHeight="1">
      <c r="A11" s="513"/>
      <c r="B11" s="522"/>
      <c r="C11" s="531"/>
      <c r="D11" s="522"/>
      <c r="F11" s="2600" t="s">
        <v>966</v>
      </c>
      <c r="G11" s="2601">
        <v>5242280</v>
      </c>
      <c r="H11" s="2602" t="s">
        <v>872</v>
      </c>
      <c r="I11" s="2603">
        <v>1</v>
      </c>
      <c r="J11" s="2602" t="s">
        <v>21</v>
      </c>
      <c r="K11" s="2604">
        <v>12</v>
      </c>
      <c r="L11" s="2605"/>
      <c r="M11" s="2604"/>
      <c r="N11" s="2606"/>
      <c r="O11" s="2606" t="s">
        <v>913</v>
      </c>
      <c r="P11" s="2607">
        <f t="shared" ref="P11:P17" si="2">ROUNDUP(G11*I11*K11,-3)</f>
        <v>62908000</v>
      </c>
      <c r="Q11" s="2608"/>
      <c r="R11" s="2194"/>
      <c r="S11" s="2609"/>
      <c r="T11" s="2610"/>
      <c r="V11" s="962"/>
      <c r="W11" s="962"/>
      <c r="X11" s="962"/>
      <c r="Y11" s="962"/>
      <c r="Z11" s="962"/>
      <c r="AA11" s="962"/>
      <c r="AB11" s="962"/>
    </row>
    <row r="12" spans="1:28" ht="14.45" customHeight="1">
      <c r="A12" s="513"/>
      <c r="B12" s="522"/>
      <c r="C12" s="531"/>
      <c r="D12" s="522"/>
      <c r="F12" s="2600" t="s">
        <v>967</v>
      </c>
      <c r="G12" s="2601">
        <v>4527330</v>
      </c>
      <c r="H12" s="2602" t="s">
        <v>817</v>
      </c>
      <c r="I12" s="2603">
        <v>1</v>
      </c>
      <c r="J12" s="2602" t="s">
        <v>21</v>
      </c>
      <c r="K12" s="2604">
        <v>12</v>
      </c>
      <c r="L12" s="2605"/>
      <c r="M12" s="2604"/>
      <c r="N12" s="2606"/>
      <c r="O12" s="2606" t="s">
        <v>913</v>
      </c>
      <c r="P12" s="2607">
        <f t="shared" si="2"/>
        <v>54328000</v>
      </c>
      <c r="Q12" s="2608"/>
      <c r="R12" s="2194"/>
      <c r="S12" s="2609"/>
      <c r="T12" s="2610"/>
      <c r="V12" s="962"/>
      <c r="W12" s="962"/>
      <c r="X12" s="962"/>
      <c r="Y12" s="962"/>
      <c r="Z12" s="962"/>
      <c r="AA12" s="962"/>
      <c r="AB12" s="962"/>
    </row>
    <row r="13" spans="1:28" ht="14.45" customHeight="1">
      <c r="A13" s="513"/>
      <c r="B13" s="522"/>
      <c r="C13" s="531"/>
      <c r="D13" s="522"/>
      <c r="E13" s="3388"/>
      <c r="F13" s="2600" t="s">
        <v>960</v>
      </c>
      <c r="G13" s="2601">
        <v>3664600</v>
      </c>
      <c r="H13" s="2602" t="s">
        <v>817</v>
      </c>
      <c r="I13" s="2603">
        <v>2</v>
      </c>
      <c r="J13" s="2602" t="s">
        <v>21</v>
      </c>
      <c r="K13" s="2604">
        <v>12</v>
      </c>
      <c r="L13" s="2605"/>
      <c r="M13" s="2604"/>
      <c r="N13" s="2606"/>
      <c r="O13" s="2606" t="s">
        <v>913</v>
      </c>
      <c r="P13" s="2607">
        <f t="shared" si="2"/>
        <v>87951000</v>
      </c>
      <c r="Q13" s="2608"/>
      <c r="R13" s="2194"/>
      <c r="S13" s="2609"/>
      <c r="T13" s="2610"/>
      <c r="V13" s="159" t="s">
        <v>762</v>
      </c>
      <c r="W13" s="159" t="s">
        <v>770</v>
      </c>
      <c r="X13" s="159" t="s">
        <v>771</v>
      </c>
      <c r="Y13" s="159" t="s">
        <v>772</v>
      </c>
      <c r="Z13" s="962"/>
      <c r="AA13" s="159" t="s">
        <v>776</v>
      </c>
      <c r="AB13" s="160"/>
    </row>
    <row r="14" spans="1:28" ht="14.45" customHeight="1">
      <c r="A14" s="513"/>
      <c r="B14" s="522"/>
      <c r="C14" s="531"/>
      <c r="D14" s="522"/>
      <c r="E14" s="3389"/>
      <c r="F14" s="2600" t="s">
        <v>961</v>
      </c>
      <c r="G14" s="2601">
        <v>3172600</v>
      </c>
      <c r="H14" s="2602" t="s">
        <v>817</v>
      </c>
      <c r="I14" s="2603">
        <v>4</v>
      </c>
      <c r="J14" s="2602" t="s">
        <v>21</v>
      </c>
      <c r="K14" s="2604">
        <v>12</v>
      </c>
      <c r="L14" s="2605"/>
      <c r="M14" s="2604"/>
      <c r="N14" s="2606"/>
      <c r="O14" s="2606" t="s">
        <v>913</v>
      </c>
      <c r="P14" s="2607">
        <f t="shared" si="2"/>
        <v>152285000</v>
      </c>
      <c r="Q14" s="2608"/>
      <c r="R14" s="2194"/>
      <c r="S14" s="2609"/>
      <c r="T14" s="2610"/>
      <c r="V14" s="2611" t="s">
        <v>763</v>
      </c>
      <c r="W14" s="1651">
        <f>Q8</f>
        <v>2200111000</v>
      </c>
      <c r="X14" s="1651">
        <f>R8</f>
        <v>569927000</v>
      </c>
      <c r="Y14" s="1651">
        <f>W14-X14</f>
        <v>1630184000</v>
      </c>
      <c r="Z14" s="962"/>
      <c r="AA14" s="1651" t="s">
        <v>790</v>
      </c>
      <c r="AB14" s="1651">
        <f>W19-AB15</f>
        <v>3222569000</v>
      </c>
    </row>
    <row r="15" spans="1:28" ht="14.45" customHeight="1">
      <c r="A15" s="513"/>
      <c r="B15" s="522"/>
      <c r="C15" s="531"/>
      <c r="D15" s="522"/>
      <c r="E15" s="3389"/>
      <c r="F15" s="2600" t="s">
        <v>962</v>
      </c>
      <c r="G15" s="2601">
        <v>2836100</v>
      </c>
      <c r="H15" s="2602" t="s">
        <v>817</v>
      </c>
      <c r="I15" s="2603">
        <v>4</v>
      </c>
      <c r="J15" s="2602" t="s">
        <v>21</v>
      </c>
      <c r="K15" s="2604">
        <v>12</v>
      </c>
      <c r="L15" s="2605"/>
      <c r="M15" s="2604"/>
      <c r="N15" s="2606"/>
      <c r="O15" s="2606" t="s">
        <v>913</v>
      </c>
      <c r="P15" s="2607">
        <f t="shared" si="2"/>
        <v>136133000</v>
      </c>
      <c r="Q15" s="2608"/>
      <c r="R15" s="2194"/>
      <c r="S15" s="2609"/>
      <c r="T15" s="2610"/>
      <c r="V15" s="2612" t="s">
        <v>764</v>
      </c>
      <c r="W15" s="1651">
        <f>Q70</f>
        <v>396810000</v>
      </c>
      <c r="X15" s="1651">
        <f>R70</f>
        <v>313140000</v>
      </c>
      <c r="Y15" s="1651">
        <f t="shared" ref="Y15:Y18" si="3">W15-X15</f>
        <v>83670000</v>
      </c>
      <c r="Z15" s="962"/>
      <c r="AA15" s="1651" t="s">
        <v>793</v>
      </c>
      <c r="AB15" s="1651">
        <v>400000000</v>
      </c>
    </row>
    <row r="16" spans="1:28" ht="14.45" customHeight="1">
      <c r="A16" s="513"/>
      <c r="B16" s="522"/>
      <c r="C16" s="531"/>
      <c r="D16" s="522"/>
      <c r="E16" s="3389"/>
      <c r="F16" s="2600" t="s">
        <v>963</v>
      </c>
      <c r="G16" s="2601">
        <v>2086600</v>
      </c>
      <c r="H16" s="2602" t="s">
        <v>817</v>
      </c>
      <c r="I16" s="2603">
        <v>19</v>
      </c>
      <c r="J16" s="2602" t="s">
        <v>21</v>
      </c>
      <c r="K16" s="2604">
        <v>12</v>
      </c>
      <c r="L16" s="2605"/>
      <c r="M16" s="2604"/>
      <c r="N16" s="2606"/>
      <c r="O16" s="2606" t="s">
        <v>913</v>
      </c>
      <c r="P16" s="2607">
        <f t="shared" si="2"/>
        <v>475745000</v>
      </c>
      <c r="Q16" s="2608"/>
      <c r="R16" s="2194"/>
      <c r="S16" s="2609"/>
      <c r="T16" s="2610"/>
      <c r="V16" s="2612" t="s">
        <v>766</v>
      </c>
      <c r="W16" s="1651">
        <f>Q195</f>
        <v>6200000</v>
      </c>
      <c r="X16" s="1651">
        <f>R195</f>
        <v>39022000</v>
      </c>
      <c r="Y16" s="1651">
        <f t="shared" si="3"/>
        <v>-32822000</v>
      </c>
      <c r="Z16" s="962"/>
      <c r="AA16" s="1651"/>
      <c r="AB16" s="1651"/>
    </row>
    <row r="17" spans="1:28" ht="14.45" customHeight="1">
      <c r="A17" s="513"/>
      <c r="B17" s="522"/>
      <c r="C17" s="531"/>
      <c r="D17" s="522"/>
      <c r="E17" s="3389"/>
      <c r="F17" s="2600" t="s">
        <v>965</v>
      </c>
      <c r="G17" s="2601">
        <v>1662700</v>
      </c>
      <c r="H17" s="2602" t="s">
        <v>817</v>
      </c>
      <c r="I17" s="2603">
        <v>16</v>
      </c>
      <c r="J17" s="2602" t="s">
        <v>21</v>
      </c>
      <c r="K17" s="2604">
        <v>12</v>
      </c>
      <c r="L17" s="2605"/>
      <c r="M17" s="2604"/>
      <c r="N17" s="2606"/>
      <c r="O17" s="2606" t="s">
        <v>913</v>
      </c>
      <c r="P17" s="2607">
        <f t="shared" si="2"/>
        <v>319239000</v>
      </c>
      <c r="Q17" s="2608"/>
      <c r="R17" s="2194"/>
      <c r="S17" s="2609"/>
      <c r="T17" s="2610"/>
      <c r="V17" s="2612" t="s">
        <v>784</v>
      </c>
      <c r="W17" s="1651">
        <f>Q201</f>
        <v>91448000</v>
      </c>
      <c r="X17" s="1651">
        <f>R201</f>
        <v>91448000</v>
      </c>
      <c r="Y17" s="1651">
        <f t="shared" si="3"/>
        <v>0</v>
      </c>
      <c r="Z17" s="962"/>
      <c r="AA17" s="1651"/>
      <c r="AB17" s="1651"/>
    </row>
    <row r="18" spans="1:28" ht="14.45" customHeight="1">
      <c r="A18" s="513"/>
      <c r="B18" s="522"/>
      <c r="C18" s="531"/>
      <c r="D18" s="522"/>
      <c r="E18" s="3637" t="s">
        <v>39</v>
      </c>
      <c r="F18" s="3638"/>
      <c r="G18" s="3638"/>
      <c r="H18" s="3638"/>
      <c r="I18" s="3638"/>
      <c r="J18" s="3638"/>
      <c r="K18" s="3638"/>
      <c r="L18" s="3638"/>
      <c r="M18" s="3638"/>
      <c r="N18" s="3638"/>
      <c r="O18" s="3638"/>
      <c r="P18" s="3639"/>
      <c r="Q18" s="540">
        <f>P19+P26+P30+P32+P35+P42+P48+P54+P60+P64+P62</f>
        <v>742282000</v>
      </c>
      <c r="R18" s="540">
        <f>R19+R26+R30+R32+R35+R42+R48+R54+R60+R62+R64</f>
        <v>169452000</v>
      </c>
      <c r="S18" s="541">
        <f>Q18-R18</f>
        <v>572830000</v>
      </c>
      <c r="T18" s="542">
        <f>S18/R18</f>
        <v>3.3804853291787644</v>
      </c>
      <c r="V18" s="2612" t="s">
        <v>785</v>
      </c>
      <c r="W18" s="1651">
        <f>Q214</f>
        <v>928000000</v>
      </c>
      <c r="X18" s="1651">
        <f>R214</f>
        <v>996980000</v>
      </c>
      <c r="Y18" s="1651">
        <f t="shared" si="3"/>
        <v>-68980000</v>
      </c>
      <c r="Z18" s="962"/>
      <c r="AA18" s="1651"/>
      <c r="AB18" s="1651"/>
    </row>
    <row r="19" spans="1:28" ht="14.45" customHeight="1">
      <c r="A19" s="513"/>
      <c r="B19" s="522"/>
      <c r="C19" s="531"/>
      <c r="D19" s="522"/>
      <c r="F19" s="2613" t="s">
        <v>968</v>
      </c>
      <c r="G19" s="2614"/>
      <c r="H19" s="2615"/>
      <c r="I19" s="2615"/>
      <c r="J19" s="2615"/>
      <c r="K19" s="2615"/>
      <c r="L19" s="2616"/>
      <c r="M19" s="2615"/>
      <c r="N19" s="2617"/>
      <c r="O19" s="2617"/>
      <c r="P19" s="2618">
        <f>SUM(P20:P25)</f>
        <v>76740000</v>
      </c>
      <c r="Q19" s="653">
        <f>P19</f>
        <v>76740000</v>
      </c>
      <c r="R19" s="1755">
        <v>21035000</v>
      </c>
      <c r="S19" s="2598">
        <f>Q19-R19</f>
        <v>55705000</v>
      </c>
      <c r="T19" s="2599">
        <f>S19/R19</f>
        <v>2.6482053719990493</v>
      </c>
      <c r="V19" s="2619" t="s">
        <v>789</v>
      </c>
      <c r="W19" s="2619">
        <f>SUM(W14:W18)</f>
        <v>3622569000</v>
      </c>
      <c r="X19" s="2619">
        <f>SUM(X14:X18)</f>
        <v>2010517000</v>
      </c>
      <c r="Y19" s="2619">
        <f t="shared" ref="Y19:Y24" si="4">W19-X19</f>
        <v>1612052000</v>
      </c>
      <c r="Z19" s="962"/>
      <c r="AA19" s="2619"/>
      <c r="AB19" s="2619">
        <f>SUM(AB14:AB18)</f>
        <v>3622569000</v>
      </c>
    </row>
    <row r="20" spans="1:28" ht="14.45" customHeight="1">
      <c r="A20" s="513"/>
      <c r="B20" s="522"/>
      <c r="C20" s="531"/>
      <c r="D20" s="522"/>
      <c r="E20" s="3388"/>
      <c r="F20" s="2600" t="s">
        <v>983</v>
      </c>
      <c r="G20" s="2620">
        <v>400000</v>
      </c>
      <c r="H20" s="2621" t="s">
        <v>991</v>
      </c>
      <c r="I20" s="2622">
        <v>1</v>
      </c>
      <c r="J20" s="2621" t="s">
        <v>21</v>
      </c>
      <c r="K20" s="2623">
        <v>12</v>
      </c>
      <c r="L20" s="2621"/>
      <c r="M20" s="2621"/>
      <c r="N20" s="2621"/>
      <c r="O20" s="2624" t="s">
        <v>988</v>
      </c>
      <c r="P20" s="2625">
        <f t="shared" ref="P20:P25" si="5">ROUNDUP(G20*I20*K20,-3)</f>
        <v>4800000</v>
      </c>
      <c r="Q20" s="2608"/>
      <c r="R20" s="2194"/>
      <c r="S20" s="2609"/>
      <c r="T20" s="2610"/>
      <c r="V20" s="1651" t="s">
        <v>767</v>
      </c>
      <c r="W20" s="1651">
        <f>Q207</f>
        <v>0</v>
      </c>
      <c r="X20" s="1651">
        <f>R207</f>
        <v>2800000</v>
      </c>
      <c r="Y20" s="2612">
        <f t="shared" si="4"/>
        <v>-2800000</v>
      </c>
      <c r="Z20" s="962"/>
      <c r="AA20" s="1651" t="s">
        <v>777</v>
      </c>
      <c r="AB20" s="1651"/>
    </row>
    <row r="21" spans="1:28" ht="14.45" customHeight="1">
      <c r="A21" s="513"/>
      <c r="B21" s="522"/>
      <c r="C21" s="531"/>
      <c r="D21" s="522"/>
      <c r="E21" s="3388"/>
      <c r="F21" s="2600" t="s">
        <v>959</v>
      </c>
      <c r="G21" s="2620">
        <v>250000</v>
      </c>
      <c r="H21" s="2621" t="s">
        <v>51</v>
      </c>
      <c r="I21" s="2622">
        <v>1</v>
      </c>
      <c r="J21" s="2621" t="s">
        <v>21</v>
      </c>
      <c r="K21" s="2623">
        <v>12</v>
      </c>
      <c r="L21" s="2621"/>
      <c r="M21" s="2621"/>
      <c r="N21" s="2621"/>
      <c r="O21" s="2624" t="s">
        <v>32</v>
      </c>
      <c r="P21" s="2625">
        <f t="shared" si="5"/>
        <v>3000000</v>
      </c>
      <c r="Q21" s="2608"/>
      <c r="R21" s="2194"/>
      <c r="S21" s="2609"/>
      <c r="T21" s="2610"/>
      <c r="V21" s="1651" t="s">
        <v>786</v>
      </c>
      <c r="W21" s="1651"/>
      <c r="X21" s="1651"/>
      <c r="Y21" s="1651"/>
      <c r="Z21" s="962"/>
      <c r="AA21" s="1651" t="s">
        <v>791</v>
      </c>
      <c r="AB21" s="1651"/>
    </row>
    <row r="22" spans="1:28" ht="14.45" customHeight="1">
      <c r="A22" s="513"/>
      <c r="B22" s="522"/>
      <c r="C22" s="531"/>
      <c r="D22" s="522"/>
      <c r="E22" s="3388"/>
      <c r="F22" s="2600" t="s">
        <v>984</v>
      </c>
      <c r="G22" s="2620">
        <v>155000</v>
      </c>
      <c r="H22" s="2621" t="s">
        <v>991</v>
      </c>
      <c r="I22" s="2622">
        <v>2</v>
      </c>
      <c r="J22" s="2621" t="s">
        <v>21</v>
      </c>
      <c r="K22" s="2623">
        <v>12</v>
      </c>
      <c r="L22" s="2621"/>
      <c r="M22" s="2621"/>
      <c r="N22" s="2621"/>
      <c r="O22" s="2624" t="s">
        <v>820</v>
      </c>
      <c r="P22" s="2625">
        <f t="shared" si="5"/>
        <v>3720000</v>
      </c>
      <c r="Q22" s="2608"/>
      <c r="R22" s="2194"/>
      <c r="S22" s="2609"/>
      <c r="T22" s="2610"/>
      <c r="V22" s="1651" t="s">
        <v>787</v>
      </c>
      <c r="W22" s="1651">
        <f>Q316</f>
        <v>0</v>
      </c>
      <c r="X22" s="1651">
        <f>R316</f>
        <v>20000000</v>
      </c>
      <c r="Y22" s="1651">
        <f t="shared" si="4"/>
        <v>-20000000</v>
      </c>
      <c r="Z22" s="962"/>
      <c r="AA22" s="1651" t="s">
        <v>792</v>
      </c>
      <c r="AB22" s="1651">
        <v>900000</v>
      </c>
    </row>
    <row r="23" spans="1:28" ht="14.45" customHeight="1">
      <c r="A23" s="513"/>
      <c r="B23" s="522"/>
      <c r="C23" s="531"/>
      <c r="D23" s="522"/>
      <c r="E23" s="3389"/>
      <c r="F23" s="2600" t="s">
        <v>971</v>
      </c>
      <c r="G23" s="2620">
        <v>140000</v>
      </c>
      <c r="H23" s="2621" t="s">
        <v>991</v>
      </c>
      <c r="I23" s="2622">
        <v>4</v>
      </c>
      <c r="J23" s="2621" t="s">
        <v>21</v>
      </c>
      <c r="K23" s="2623">
        <v>12</v>
      </c>
      <c r="L23" s="2621"/>
      <c r="M23" s="2621"/>
      <c r="N23" s="2621"/>
      <c r="O23" s="2624" t="s">
        <v>32</v>
      </c>
      <c r="P23" s="2625">
        <f t="shared" si="5"/>
        <v>6720000</v>
      </c>
      <c r="Q23" s="2608"/>
      <c r="R23" s="2194"/>
      <c r="S23" s="2609"/>
      <c r="T23" s="2610"/>
      <c r="V23" s="1651" t="s">
        <v>788</v>
      </c>
      <c r="W23" s="1651">
        <f>Q311</f>
        <v>900000</v>
      </c>
      <c r="X23" s="1651">
        <f>R311</f>
        <v>179424000</v>
      </c>
      <c r="Y23" s="1651">
        <f t="shared" si="4"/>
        <v>-178524000</v>
      </c>
      <c r="Z23" s="962"/>
      <c r="AA23" s="1651"/>
      <c r="AB23" s="1651"/>
    </row>
    <row r="24" spans="1:28" ht="14.45" customHeight="1">
      <c r="A24" s="513"/>
      <c r="B24" s="522"/>
      <c r="C24" s="531"/>
      <c r="D24" s="522"/>
      <c r="E24" s="3389"/>
      <c r="F24" s="2600" t="s">
        <v>987</v>
      </c>
      <c r="G24" s="2620">
        <v>125000</v>
      </c>
      <c r="H24" s="2621" t="s">
        <v>817</v>
      </c>
      <c r="I24" s="2622">
        <v>4</v>
      </c>
      <c r="J24" s="2621" t="s">
        <v>21</v>
      </c>
      <c r="K24" s="2623">
        <v>12</v>
      </c>
      <c r="L24" s="2621"/>
      <c r="M24" s="2621"/>
      <c r="N24" s="2621"/>
      <c r="O24" s="2624" t="s">
        <v>32</v>
      </c>
      <c r="P24" s="2625">
        <f t="shared" si="5"/>
        <v>6000000</v>
      </c>
      <c r="Q24" s="2608"/>
      <c r="R24" s="2194"/>
      <c r="S24" s="2609"/>
      <c r="T24" s="2610"/>
      <c r="V24" s="1651"/>
      <c r="W24" s="1651"/>
      <c r="X24" s="1651"/>
      <c r="Y24" s="1651">
        <f t="shared" si="4"/>
        <v>0</v>
      </c>
      <c r="Z24" s="962"/>
      <c r="AA24" s="1651"/>
      <c r="AB24" s="1651"/>
    </row>
    <row r="25" spans="1:28" ht="14.45" customHeight="1">
      <c r="A25" s="513"/>
      <c r="B25" s="522"/>
      <c r="C25" s="531"/>
      <c r="D25" s="522"/>
      <c r="E25" s="3388"/>
      <c r="F25" s="2600" t="s">
        <v>977</v>
      </c>
      <c r="G25" s="2620">
        <v>125000</v>
      </c>
      <c r="H25" s="2621" t="s">
        <v>51</v>
      </c>
      <c r="I25" s="2622">
        <v>35</v>
      </c>
      <c r="J25" s="2621" t="s">
        <v>21</v>
      </c>
      <c r="K25" s="2623">
        <v>12</v>
      </c>
      <c r="L25" s="2621"/>
      <c r="M25" s="2621"/>
      <c r="N25" s="2621"/>
      <c r="O25" s="2624" t="s">
        <v>988</v>
      </c>
      <c r="P25" s="2625">
        <f t="shared" si="5"/>
        <v>52500000</v>
      </c>
      <c r="Q25" s="2608"/>
      <c r="R25" s="2194"/>
      <c r="S25" s="2609"/>
      <c r="T25" s="2610"/>
      <c r="V25" s="2619"/>
      <c r="W25" s="2619">
        <f>W19+W20+W21+W22+W23</f>
        <v>3623469000</v>
      </c>
      <c r="X25" s="2619">
        <f t="shared" ref="X25" si="6">X19+X20+X21+X22+X23</f>
        <v>2212741000</v>
      </c>
      <c r="Y25" s="2619">
        <f>Y19+Y20+Y21+Y22+Y23</f>
        <v>1410728000</v>
      </c>
      <c r="Z25" s="962"/>
      <c r="AA25" s="2619"/>
      <c r="AB25" s="2619">
        <f>AB19+AB20+AB21+AB22</f>
        <v>3623469000</v>
      </c>
    </row>
    <row r="26" spans="1:28" ht="14.45" customHeight="1">
      <c r="A26" s="513"/>
      <c r="B26" s="522"/>
      <c r="C26" s="531"/>
      <c r="D26" s="522"/>
      <c r="E26" s="3389"/>
      <c r="F26" s="2613" t="s">
        <v>970</v>
      </c>
      <c r="G26" s="2614"/>
      <c r="H26" s="2615"/>
      <c r="I26" s="2615"/>
      <c r="J26" s="2615"/>
      <c r="K26" s="2615"/>
      <c r="L26" s="2616"/>
      <c r="M26" s="2615"/>
      <c r="N26" s="2617"/>
      <c r="O26" s="2617"/>
      <c r="P26" s="2618">
        <f>SUM(P27:P29)</f>
        <v>20160000</v>
      </c>
      <c r="Q26" s="653">
        <f>P26</f>
        <v>20160000</v>
      </c>
      <c r="R26" s="1755">
        <v>7440000</v>
      </c>
      <c r="S26" s="2598">
        <f>Q26-R26</f>
        <v>12720000</v>
      </c>
      <c r="T26" s="2599">
        <f>S26/R26</f>
        <v>1.7096774193548387</v>
      </c>
      <c r="V26" s="1651"/>
      <c r="W26" s="1651"/>
      <c r="X26" s="1651"/>
      <c r="Y26" s="1651"/>
      <c r="Z26" s="962"/>
      <c r="AA26" s="1651"/>
      <c r="AB26" s="1651"/>
    </row>
    <row r="27" spans="1:28" ht="14.45" customHeight="1">
      <c r="A27" s="513"/>
      <c r="B27" s="522"/>
      <c r="C27" s="531"/>
      <c r="D27" s="522"/>
      <c r="E27" s="3389"/>
      <c r="F27" s="2626" t="s">
        <v>989</v>
      </c>
      <c r="G27" s="2627">
        <v>40000</v>
      </c>
      <c r="H27" s="2621" t="s">
        <v>991</v>
      </c>
      <c r="I27" s="2622">
        <v>20</v>
      </c>
      <c r="J27" s="2621" t="s">
        <v>21</v>
      </c>
      <c r="K27" s="2623">
        <v>12</v>
      </c>
      <c r="L27" s="2628"/>
      <c r="M27" s="2623"/>
      <c r="N27" s="2624"/>
      <c r="O27" s="2624" t="s">
        <v>988</v>
      </c>
      <c r="P27" s="2625">
        <f>ROUNDUP(G27*I27*K27,-3)</f>
        <v>9600000</v>
      </c>
      <c r="Q27" s="2629"/>
      <c r="R27" s="2630"/>
      <c r="S27" s="2631"/>
      <c r="T27" s="2632"/>
      <c r="V27" s="2582"/>
      <c r="W27" s="2582"/>
      <c r="X27" s="2582"/>
      <c r="Y27" s="2582"/>
      <c r="Z27" s="962"/>
      <c r="AA27" s="2582"/>
      <c r="AB27" s="2582"/>
    </row>
    <row r="28" spans="1:28" ht="14.45" customHeight="1">
      <c r="A28" s="513"/>
      <c r="B28" s="522"/>
      <c r="C28" s="531"/>
      <c r="D28" s="522"/>
      <c r="E28" s="3389"/>
      <c r="F28" s="2626" t="s">
        <v>990</v>
      </c>
      <c r="G28" s="2627">
        <v>20000</v>
      </c>
      <c r="H28" s="2621" t="s">
        <v>991</v>
      </c>
      <c r="I28" s="2622">
        <v>20</v>
      </c>
      <c r="J28" s="2621" t="s">
        <v>21</v>
      </c>
      <c r="K28" s="2623">
        <v>12</v>
      </c>
      <c r="L28" s="2628"/>
      <c r="M28" s="2623"/>
      <c r="N28" s="2624"/>
      <c r="O28" s="2624" t="s">
        <v>988</v>
      </c>
      <c r="P28" s="2625">
        <f>ROUNDUP(G28*I28*K28,-3)</f>
        <v>4800000</v>
      </c>
      <c r="Q28" s="2629"/>
      <c r="R28" s="2630"/>
      <c r="S28" s="2631"/>
      <c r="T28" s="2632"/>
      <c r="V28" s="495" t="s">
        <v>2332</v>
      </c>
      <c r="W28" s="2582">
        <f>W14</f>
        <v>2200111000</v>
      </c>
      <c r="Y28" s="2582"/>
      <c r="AB28" s="2582"/>
    </row>
    <row r="29" spans="1:28" ht="14.45" customHeight="1">
      <c r="A29" s="513"/>
      <c r="B29" s="522"/>
      <c r="C29" s="531"/>
      <c r="D29" s="522"/>
      <c r="E29" s="3388"/>
      <c r="F29" s="2626" t="s">
        <v>993</v>
      </c>
      <c r="G29" s="2627">
        <v>60000</v>
      </c>
      <c r="H29" s="2621" t="s">
        <v>817</v>
      </c>
      <c r="I29" s="2622">
        <v>8</v>
      </c>
      <c r="J29" s="2621" t="s">
        <v>21</v>
      </c>
      <c r="K29" s="2623">
        <v>12</v>
      </c>
      <c r="L29" s="2628"/>
      <c r="M29" s="2623"/>
      <c r="N29" s="2624"/>
      <c r="O29" s="2624" t="s">
        <v>988</v>
      </c>
      <c r="P29" s="2625">
        <f>ROUNDUP(G29*I29*K29,-3)</f>
        <v>5760000</v>
      </c>
      <c r="Q29" s="2629"/>
      <c r="R29" s="2630"/>
      <c r="S29" s="2631"/>
      <c r="T29" s="2632"/>
      <c r="V29" s="495" t="s">
        <v>2333</v>
      </c>
      <c r="W29" s="2582">
        <f>W15+W17+W16</f>
        <v>494458000</v>
      </c>
      <c r="X29" s="2582"/>
      <c r="Y29" s="2633"/>
    </row>
    <row r="30" spans="1:28" ht="14.45" customHeight="1">
      <c r="A30" s="513"/>
      <c r="B30" s="522"/>
      <c r="C30" s="531"/>
      <c r="D30" s="522"/>
      <c r="E30" s="3388"/>
      <c r="F30" s="2613" t="s">
        <v>980</v>
      </c>
      <c r="G30" s="2614"/>
      <c r="H30" s="2615"/>
      <c r="I30" s="2615"/>
      <c r="J30" s="2615"/>
      <c r="K30" s="2615"/>
      <c r="L30" s="2616"/>
      <c r="M30" s="2615"/>
      <c r="N30" s="2617"/>
      <c r="O30" s="2617"/>
      <c r="P30" s="2618">
        <f>SUM(P31:P31)</f>
        <v>73320000</v>
      </c>
      <c r="Q30" s="653">
        <f>P30</f>
        <v>73320000</v>
      </c>
      <c r="R30" s="1755">
        <v>16510000</v>
      </c>
      <c r="S30" s="2598">
        <f>Q30-R30</f>
        <v>56810000</v>
      </c>
      <c r="T30" s="2599">
        <f>S30/R30</f>
        <v>3.4409448818897639</v>
      </c>
      <c r="V30" s="495" t="s">
        <v>2334</v>
      </c>
      <c r="W30" s="2582">
        <f>W18-400000000</f>
        <v>528000000</v>
      </c>
    </row>
    <row r="31" spans="1:28" ht="14.45" customHeight="1">
      <c r="A31" s="513"/>
      <c r="B31" s="522"/>
      <c r="C31" s="531"/>
      <c r="D31" s="522"/>
      <c r="E31" s="3389"/>
      <c r="F31" s="2600" t="s">
        <v>994</v>
      </c>
      <c r="G31" s="2627">
        <v>130000</v>
      </c>
      <c r="H31" s="2621" t="s">
        <v>51</v>
      </c>
      <c r="I31" s="2622">
        <v>47</v>
      </c>
      <c r="J31" s="2621" t="s">
        <v>21</v>
      </c>
      <c r="K31" s="2623">
        <v>12</v>
      </c>
      <c r="L31" s="2628"/>
      <c r="M31" s="2623"/>
      <c r="N31" s="2624"/>
      <c r="O31" s="2624" t="s">
        <v>913</v>
      </c>
      <c r="P31" s="2625">
        <f>ROUNDUP(G31*I31*K31,-3)</f>
        <v>73320000</v>
      </c>
      <c r="Q31" s="2629"/>
      <c r="R31" s="2630"/>
      <c r="S31" s="2631"/>
      <c r="T31" s="2632"/>
      <c r="W31" s="2582">
        <f>SUM(W28:W30)</f>
        <v>3222569000</v>
      </c>
      <c r="Y31" s="2582"/>
    </row>
    <row r="32" spans="1:28" ht="14.45" customHeight="1">
      <c r="A32" s="513"/>
      <c r="B32" s="522"/>
      <c r="C32" s="531"/>
      <c r="D32" s="522"/>
      <c r="E32" s="3388"/>
      <c r="F32" s="2613" t="s">
        <v>992</v>
      </c>
      <c r="G32" s="2614"/>
      <c r="H32" s="2615"/>
      <c r="I32" s="2615"/>
      <c r="J32" s="2615"/>
      <c r="K32" s="2615"/>
      <c r="L32" s="2616"/>
      <c r="M32" s="2615"/>
      <c r="N32" s="2617"/>
      <c r="O32" s="2617"/>
      <c r="P32" s="2618">
        <f>SUM(P33:P34)</f>
        <v>16680000</v>
      </c>
      <c r="Q32" s="653">
        <f>P32</f>
        <v>16680000</v>
      </c>
      <c r="R32" s="1755">
        <v>3400000</v>
      </c>
      <c r="S32" s="2598">
        <f>Q32-R32</f>
        <v>13280000</v>
      </c>
      <c r="T32" s="2599">
        <f>S32/R32</f>
        <v>3.9058823529411764</v>
      </c>
      <c r="W32" s="2582"/>
      <c r="AB32" s="2582"/>
    </row>
    <row r="33" spans="1:28" ht="14.45" customHeight="1">
      <c r="A33" s="513"/>
      <c r="B33" s="522"/>
      <c r="C33" s="531"/>
      <c r="D33" s="522"/>
      <c r="E33" s="3389"/>
      <c r="F33" s="2600" t="s">
        <v>995</v>
      </c>
      <c r="G33" s="2627">
        <v>30000</v>
      </c>
      <c r="H33" s="2621" t="s">
        <v>817</v>
      </c>
      <c r="I33" s="2622">
        <v>41</v>
      </c>
      <c r="J33" s="2621" t="s">
        <v>21</v>
      </c>
      <c r="K33" s="2623">
        <v>12</v>
      </c>
      <c r="L33" s="2628"/>
      <c r="M33" s="2623"/>
      <c r="N33" s="2624"/>
      <c r="O33" s="2624" t="s">
        <v>820</v>
      </c>
      <c r="P33" s="2625">
        <f>ROUNDUP(G33*I33*K33,-3)</f>
        <v>14760000</v>
      </c>
      <c r="Q33" s="2629"/>
      <c r="R33" s="2630"/>
      <c r="S33" s="2631"/>
      <c r="T33" s="2632"/>
      <c r="W33" s="2582"/>
      <c r="AB33" s="2582"/>
    </row>
    <row r="34" spans="1:28" ht="14.45" customHeight="1">
      <c r="A34" s="513"/>
      <c r="B34" s="522"/>
      <c r="C34" s="531"/>
      <c r="D34" s="522"/>
      <c r="E34" s="3389"/>
      <c r="F34" s="2600" t="s">
        <v>996</v>
      </c>
      <c r="G34" s="2627">
        <v>40000</v>
      </c>
      <c r="H34" s="2621" t="s">
        <v>817</v>
      </c>
      <c r="I34" s="2622">
        <v>4</v>
      </c>
      <c r="J34" s="2621" t="s">
        <v>21</v>
      </c>
      <c r="K34" s="2623">
        <v>12</v>
      </c>
      <c r="L34" s="2628"/>
      <c r="M34" s="2623"/>
      <c r="N34" s="2624"/>
      <c r="O34" s="2624" t="s">
        <v>820</v>
      </c>
      <c r="P34" s="2625">
        <f>ROUNDUP(G34*I34*K34,-3)</f>
        <v>1920000</v>
      </c>
      <c r="Q34" s="2629"/>
      <c r="R34" s="2630"/>
      <c r="S34" s="2631"/>
      <c r="T34" s="2632"/>
      <c r="W34" s="2582">
        <v>3284386000</v>
      </c>
      <c r="Y34" s="2582"/>
    </row>
    <row r="35" spans="1:28" ht="14.45" customHeight="1">
      <c r="A35" s="513"/>
      <c r="B35" s="522"/>
      <c r="C35" s="531"/>
      <c r="D35" s="522"/>
      <c r="E35" s="3389"/>
      <c r="F35" s="2613" t="s">
        <v>981</v>
      </c>
      <c r="G35" s="2614"/>
      <c r="H35" s="2615"/>
      <c r="I35" s="2615"/>
      <c r="J35" s="2615"/>
      <c r="K35" s="2615"/>
      <c r="L35" s="2616"/>
      <c r="M35" s="2615"/>
      <c r="N35" s="2617"/>
      <c r="O35" s="2617"/>
      <c r="P35" s="2618">
        <f>SUM(P36:P41)</f>
        <v>317788000</v>
      </c>
      <c r="Q35" s="653">
        <f>P35</f>
        <v>317788000</v>
      </c>
      <c r="R35" s="1755">
        <v>71700000</v>
      </c>
      <c r="S35" s="2598">
        <f>Q35-R35</f>
        <v>246088000</v>
      </c>
      <c r="T35" s="2599">
        <f>S35/R35</f>
        <v>3.4321896792189679</v>
      </c>
    </row>
    <row r="36" spans="1:28" ht="14.45" customHeight="1">
      <c r="A36" s="513"/>
      <c r="B36" s="522"/>
      <c r="C36" s="531"/>
      <c r="D36" s="522"/>
      <c r="F36" s="2600" t="s">
        <v>959</v>
      </c>
      <c r="G36" s="2627">
        <v>1056600</v>
      </c>
      <c r="H36" s="2621" t="s">
        <v>51</v>
      </c>
      <c r="I36" s="2603">
        <v>1</v>
      </c>
      <c r="J36" s="2621" t="s">
        <v>21</v>
      </c>
      <c r="K36" s="2623">
        <v>12</v>
      </c>
      <c r="L36" s="2634"/>
      <c r="M36" s="2635"/>
      <c r="N36" s="2624"/>
      <c r="O36" s="2624" t="s">
        <v>820</v>
      </c>
      <c r="P36" s="2625">
        <f t="shared" ref="P36:P41" si="7">ROUNDUP(G36*I36*K36,-3)</f>
        <v>12680000</v>
      </c>
      <c r="Q36" s="2629"/>
      <c r="R36" s="2630"/>
      <c r="S36" s="2631"/>
      <c r="T36" s="2632"/>
      <c r="W36" s="2636"/>
    </row>
    <row r="37" spans="1:28" ht="14.45" customHeight="1">
      <c r="A37" s="513"/>
      <c r="B37" s="522"/>
      <c r="C37" s="531"/>
      <c r="D37" s="522"/>
      <c r="E37" s="3388"/>
      <c r="F37" s="2600" t="s">
        <v>997</v>
      </c>
      <c r="G37" s="2627">
        <v>941800</v>
      </c>
      <c r="H37" s="2621" t="s">
        <v>817</v>
      </c>
      <c r="I37" s="2603">
        <v>2</v>
      </c>
      <c r="J37" s="2621" t="s">
        <v>21</v>
      </c>
      <c r="K37" s="2623">
        <v>12</v>
      </c>
      <c r="L37" s="2634"/>
      <c r="M37" s="2635"/>
      <c r="N37" s="2624"/>
      <c r="O37" s="2624" t="s">
        <v>820</v>
      </c>
      <c r="P37" s="2625">
        <f t="shared" si="7"/>
        <v>22604000</v>
      </c>
      <c r="Q37" s="2629"/>
      <c r="R37" s="2630"/>
      <c r="S37" s="2631"/>
      <c r="T37" s="2632"/>
      <c r="W37" s="2582">
        <f>Q8+Q70+Q195+Q201+Q214</f>
        <v>3622569000</v>
      </c>
    </row>
    <row r="38" spans="1:28" ht="14.45" customHeight="1">
      <c r="A38" s="513"/>
      <c r="B38" s="522"/>
      <c r="C38" s="531"/>
      <c r="D38" s="522"/>
      <c r="E38" s="3388"/>
      <c r="F38" s="2600" t="s">
        <v>961</v>
      </c>
      <c r="G38" s="2627">
        <v>820900</v>
      </c>
      <c r="H38" s="2621" t="s">
        <v>991</v>
      </c>
      <c r="I38" s="2603">
        <v>4</v>
      </c>
      <c r="J38" s="2621" t="s">
        <v>21</v>
      </c>
      <c r="K38" s="2623">
        <v>12</v>
      </c>
      <c r="L38" s="2634"/>
      <c r="M38" s="2635"/>
      <c r="N38" s="2624"/>
      <c r="O38" s="2624" t="s">
        <v>820</v>
      </c>
      <c r="P38" s="2625">
        <f t="shared" si="7"/>
        <v>39404000</v>
      </c>
      <c r="Q38" s="2629"/>
      <c r="R38" s="2630"/>
      <c r="S38" s="2631"/>
      <c r="T38" s="2632"/>
      <c r="W38" s="2582"/>
    </row>
    <row r="39" spans="1:28" ht="14.45" customHeight="1">
      <c r="A39" s="513"/>
      <c r="B39" s="522"/>
      <c r="C39" s="531"/>
      <c r="D39" s="522"/>
      <c r="E39" s="3388"/>
      <c r="F39" s="2600" t="s">
        <v>998</v>
      </c>
      <c r="G39" s="2627">
        <v>738800</v>
      </c>
      <c r="H39" s="2621" t="s">
        <v>817</v>
      </c>
      <c r="I39" s="2603">
        <v>4</v>
      </c>
      <c r="J39" s="2621" t="s">
        <v>21</v>
      </c>
      <c r="K39" s="2623">
        <v>12</v>
      </c>
      <c r="L39" s="2634"/>
      <c r="M39" s="2635"/>
      <c r="N39" s="2624"/>
      <c r="O39" s="2624" t="s">
        <v>820</v>
      </c>
      <c r="P39" s="2625">
        <f t="shared" si="7"/>
        <v>35463000</v>
      </c>
      <c r="Q39" s="2629"/>
      <c r="R39" s="2630"/>
      <c r="S39" s="2631"/>
      <c r="T39" s="2632"/>
      <c r="W39" s="2582"/>
      <c r="X39" s="2637"/>
    </row>
    <row r="40" spans="1:28" ht="14.45" customHeight="1">
      <c r="A40" s="2661"/>
      <c r="B40" s="551"/>
      <c r="C40" s="515"/>
      <c r="D40" s="551"/>
      <c r="E40" s="3390"/>
      <c r="F40" s="2995" t="s">
        <v>963</v>
      </c>
      <c r="G40" s="2869">
        <v>550600</v>
      </c>
      <c r="H40" s="2870" t="s">
        <v>817</v>
      </c>
      <c r="I40" s="2996">
        <v>19</v>
      </c>
      <c r="J40" s="2870" t="s">
        <v>21</v>
      </c>
      <c r="K40" s="2872">
        <v>12</v>
      </c>
      <c r="L40" s="2997"/>
      <c r="M40" s="2998"/>
      <c r="N40" s="2873"/>
      <c r="O40" s="2873" t="s">
        <v>820</v>
      </c>
      <c r="P40" s="2999">
        <f t="shared" si="7"/>
        <v>125537000</v>
      </c>
      <c r="Q40" s="3000"/>
      <c r="R40" s="2734"/>
      <c r="S40" s="2735"/>
      <c r="T40" s="3001"/>
      <c r="W40" s="2582">
        <v>400000000</v>
      </c>
    </row>
    <row r="41" spans="1:28" ht="14.45" customHeight="1">
      <c r="A41" s="513"/>
      <c r="B41" s="522"/>
      <c r="C41" s="531"/>
      <c r="D41" s="522"/>
      <c r="E41" s="3388"/>
      <c r="F41" s="2600" t="s">
        <v>965</v>
      </c>
      <c r="G41" s="2627">
        <v>427600</v>
      </c>
      <c r="H41" s="2621" t="s">
        <v>817</v>
      </c>
      <c r="I41" s="2603">
        <v>16</v>
      </c>
      <c r="J41" s="2621" t="s">
        <v>21</v>
      </c>
      <c r="K41" s="2623">
        <v>12</v>
      </c>
      <c r="L41" s="2634"/>
      <c r="M41" s="2635"/>
      <c r="N41" s="2624"/>
      <c r="O41" s="2624" t="s">
        <v>820</v>
      </c>
      <c r="P41" s="2625">
        <f t="shared" si="7"/>
        <v>82100000</v>
      </c>
      <c r="Q41" s="2629"/>
      <c r="R41" s="2630"/>
      <c r="S41" s="2631"/>
      <c r="T41" s="2632"/>
      <c r="W41" s="2582"/>
    </row>
    <row r="42" spans="1:28" ht="14.45" customHeight="1">
      <c r="A42" s="513"/>
      <c r="B42" s="522"/>
      <c r="C42" s="531"/>
      <c r="D42" s="522"/>
      <c r="E42" s="3388"/>
      <c r="F42" s="2613" t="s">
        <v>982</v>
      </c>
      <c r="G42" s="2638"/>
      <c r="H42" s="2615"/>
      <c r="I42" s="2615"/>
      <c r="J42" s="2615"/>
      <c r="K42" s="2615"/>
      <c r="L42" s="2616"/>
      <c r="M42" s="2615"/>
      <c r="N42" s="2617"/>
      <c r="O42" s="2617"/>
      <c r="P42" s="2618">
        <f>SUM(P43:P47)</f>
        <v>69288000</v>
      </c>
      <c r="Q42" s="653">
        <f>P42</f>
        <v>69288000</v>
      </c>
      <c r="R42" s="1755">
        <v>15177000</v>
      </c>
      <c r="S42" s="2598">
        <f>Q42-R42</f>
        <v>54111000</v>
      </c>
      <c r="T42" s="2599">
        <f>S42/R42</f>
        <v>3.5653291164261711</v>
      </c>
      <c r="W42" s="2582">
        <f>W37-W40</f>
        <v>3222569000</v>
      </c>
    </row>
    <row r="43" spans="1:28" ht="14.45" customHeight="1">
      <c r="A43" s="513"/>
      <c r="B43" s="522"/>
      <c r="C43" s="531"/>
      <c r="D43" s="522"/>
      <c r="E43" s="3388"/>
      <c r="F43" s="2600" t="s">
        <v>960</v>
      </c>
      <c r="G43" s="2627">
        <v>1822200</v>
      </c>
      <c r="H43" s="2621" t="s">
        <v>817</v>
      </c>
      <c r="I43" s="2603">
        <v>2</v>
      </c>
      <c r="J43" s="2621" t="s">
        <v>21</v>
      </c>
      <c r="K43" s="2623">
        <v>2</v>
      </c>
      <c r="L43" s="2628"/>
      <c r="M43" s="2623"/>
      <c r="N43" s="2624"/>
      <c r="O43" s="2624" t="s">
        <v>820</v>
      </c>
      <c r="P43" s="2625">
        <f>ROUNDUP(G43*I43*K43,-3)</f>
        <v>7289000</v>
      </c>
      <c r="Q43" s="2629"/>
      <c r="R43" s="2630"/>
      <c r="S43" s="2631"/>
      <c r="T43" s="2632"/>
      <c r="W43" s="2582"/>
    </row>
    <row r="44" spans="1:28" ht="14.45" customHeight="1">
      <c r="A44" s="513"/>
      <c r="B44" s="522"/>
      <c r="C44" s="531"/>
      <c r="D44" s="522"/>
      <c r="E44" s="3388"/>
      <c r="F44" s="2600" t="s">
        <v>961</v>
      </c>
      <c r="G44" s="2627">
        <v>1579600</v>
      </c>
      <c r="H44" s="2621" t="s">
        <v>817</v>
      </c>
      <c r="I44" s="2603">
        <v>4</v>
      </c>
      <c r="J44" s="2621" t="s">
        <v>21</v>
      </c>
      <c r="K44" s="2623">
        <v>2</v>
      </c>
      <c r="L44" s="2628"/>
      <c r="M44" s="2623"/>
      <c r="N44" s="2624"/>
      <c r="O44" s="2624" t="s">
        <v>820</v>
      </c>
      <c r="P44" s="2625">
        <f>ROUNDUP(G44*I44*K44,-3)</f>
        <v>12637000</v>
      </c>
      <c r="Q44" s="2629"/>
      <c r="R44" s="2630"/>
      <c r="S44" s="2631"/>
      <c r="T44" s="2632"/>
      <c r="W44" s="2582"/>
    </row>
    <row r="45" spans="1:28" ht="14.45" customHeight="1">
      <c r="A45" s="513"/>
      <c r="B45" s="522"/>
      <c r="C45" s="531"/>
      <c r="D45" s="522"/>
      <c r="E45" s="3388"/>
      <c r="F45" s="2600" t="s">
        <v>962</v>
      </c>
      <c r="G45" s="2627">
        <v>1412600</v>
      </c>
      <c r="H45" s="2621" t="s">
        <v>817</v>
      </c>
      <c r="I45" s="2603">
        <v>4</v>
      </c>
      <c r="J45" s="2621" t="s">
        <v>21</v>
      </c>
      <c r="K45" s="2623">
        <v>2</v>
      </c>
      <c r="L45" s="2628"/>
      <c r="M45" s="2623"/>
      <c r="N45" s="2624"/>
      <c r="O45" s="2624" t="s">
        <v>820</v>
      </c>
      <c r="P45" s="2625">
        <f>ROUNDUP(G45*I45*K45,-3)</f>
        <v>11301000</v>
      </c>
      <c r="Q45" s="2629"/>
      <c r="R45" s="2630"/>
      <c r="S45" s="2631"/>
      <c r="T45" s="2632"/>
      <c r="W45" s="2582"/>
      <c r="X45" s="2581"/>
    </row>
    <row r="46" spans="1:28" ht="14.45" customHeight="1">
      <c r="A46" s="513"/>
      <c r="B46" s="522"/>
      <c r="C46" s="531"/>
      <c r="D46" s="522"/>
      <c r="E46" s="3388"/>
      <c r="F46" s="2600" t="s">
        <v>963</v>
      </c>
      <c r="G46" s="2627">
        <v>785600</v>
      </c>
      <c r="H46" s="2621" t="s">
        <v>817</v>
      </c>
      <c r="I46" s="2603">
        <v>19</v>
      </c>
      <c r="J46" s="2621" t="s">
        <v>21</v>
      </c>
      <c r="K46" s="2623">
        <v>2</v>
      </c>
      <c r="L46" s="2628"/>
      <c r="M46" s="2623"/>
      <c r="N46" s="2624"/>
      <c r="O46" s="2624" t="s">
        <v>820</v>
      </c>
      <c r="P46" s="2625">
        <f>ROUNDUP(G46*I46*K46,-3)</f>
        <v>29853000</v>
      </c>
      <c r="Q46" s="2629"/>
      <c r="R46" s="2630"/>
      <c r="S46" s="2631"/>
      <c r="T46" s="2632"/>
      <c r="W46" s="2582"/>
    </row>
    <row r="47" spans="1:28" ht="14.45" customHeight="1">
      <c r="A47" s="513"/>
      <c r="B47" s="522"/>
      <c r="C47" s="531"/>
      <c r="D47" s="522"/>
      <c r="E47" s="3388"/>
      <c r="F47" s="2600" t="s">
        <v>965</v>
      </c>
      <c r="G47" s="2627">
        <v>256500</v>
      </c>
      <c r="H47" s="2621" t="s">
        <v>817</v>
      </c>
      <c r="I47" s="2603">
        <v>16</v>
      </c>
      <c r="J47" s="2621" t="s">
        <v>21</v>
      </c>
      <c r="K47" s="2623">
        <v>2</v>
      </c>
      <c r="L47" s="2628"/>
      <c r="M47" s="2623"/>
      <c r="N47" s="2624"/>
      <c r="O47" s="2624" t="s">
        <v>820</v>
      </c>
      <c r="P47" s="2625">
        <f>ROUNDUP(G47*I47*K47,-3)</f>
        <v>8208000</v>
      </c>
      <c r="Q47" s="2629"/>
      <c r="R47" s="2630"/>
      <c r="S47" s="2631"/>
      <c r="T47" s="2632"/>
      <c r="W47" s="2582"/>
    </row>
    <row r="48" spans="1:28" ht="14.45" customHeight="1">
      <c r="A48" s="513"/>
      <c r="B48" s="522"/>
      <c r="C48" s="531"/>
      <c r="D48" s="522"/>
      <c r="E48" s="3388"/>
      <c r="F48" s="2613" t="s">
        <v>972</v>
      </c>
      <c r="G48" s="2638"/>
      <c r="H48" s="2615"/>
      <c r="I48" s="2615"/>
      <c r="J48" s="2615"/>
      <c r="K48" s="2615"/>
      <c r="L48" s="2616"/>
      <c r="M48" s="2615"/>
      <c r="N48" s="2617"/>
      <c r="O48" s="2617"/>
      <c r="P48" s="2618">
        <f>SUM(P49:P53)</f>
        <v>22620000</v>
      </c>
      <c r="Q48" s="653">
        <f>P48</f>
        <v>22620000</v>
      </c>
      <c r="R48" s="1755">
        <v>5770000</v>
      </c>
      <c r="S48" s="2598">
        <f>Q48-R48</f>
        <v>16850000</v>
      </c>
      <c r="T48" s="2599">
        <f>S48/R48</f>
        <v>2.9202772963604851</v>
      </c>
      <c r="W48" s="2582"/>
    </row>
    <row r="49" spans="1:23" ht="14.45" customHeight="1">
      <c r="A49" s="513"/>
      <c r="B49" s="522"/>
      <c r="C49" s="531"/>
      <c r="D49" s="522"/>
      <c r="E49" s="3388"/>
      <c r="F49" s="2600" t="s">
        <v>973</v>
      </c>
      <c r="G49" s="2627">
        <v>20000</v>
      </c>
      <c r="H49" s="2621" t="s">
        <v>817</v>
      </c>
      <c r="I49" s="2622">
        <v>1</v>
      </c>
      <c r="J49" s="2621" t="s">
        <v>21</v>
      </c>
      <c r="K49" s="2623">
        <v>9</v>
      </c>
      <c r="L49" s="2628"/>
      <c r="M49" s="2623"/>
      <c r="N49" s="2624"/>
      <c r="O49" s="2624" t="s">
        <v>820</v>
      </c>
      <c r="P49" s="2625">
        <f>ROUNDUP(G49*I49*K49,-3)</f>
        <v>180000</v>
      </c>
      <c r="Q49" s="2629"/>
      <c r="R49" s="2630"/>
      <c r="S49" s="2631"/>
      <c r="T49" s="2632"/>
      <c r="W49" s="2582"/>
    </row>
    <row r="50" spans="1:23" ht="14.45" customHeight="1">
      <c r="A50" s="513"/>
      <c r="B50" s="522"/>
      <c r="C50" s="531"/>
      <c r="D50" s="522"/>
      <c r="E50" s="3388"/>
      <c r="F50" s="2600" t="s">
        <v>999</v>
      </c>
      <c r="G50" s="2627">
        <v>110000</v>
      </c>
      <c r="H50" s="2621" t="s">
        <v>991</v>
      </c>
      <c r="I50" s="2622">
        <v>3</v>
      </c>
      <c r="J50" s="2621" t="s">
        <v>21</v>
      </c>
      <c r="K50" s="2623">
        <v>12</v>
      </c>
      <c r="L50" s="2628"/>
      <c r="M50" s="2623"/>
      <c r="N50" s="2624"/>
      <c r="O50" s="2624" t="s">
        <v>820</v>
      </c>
      <c r="P50" s="2625">
        <f>ROUNDUP(G50*I50*K50,-3)</f>
        <v>3960000</v>
      </c>
      <c r="Q50" s="2629"/>
      <c r="R50" s="2630"/>
      <c r="S50" s="2631"/>
      <c r="T50" s="2632"/>
      <c r="W50" s="2582"/>
    </row>
    <row r="51" spans="1:23" ht="14.45" customHeight="1">
      <c r="A51" s="513"/>
      <c r="B51" s="522"/>
      <c r="C51" s="531"/>
      <c r="D51" s="522"/>
      <c r="E51" s="3388"/>
      <c r="F51" s="2626" t="s">
        <v>1000</v>
      </c>
      <c r="G51" s="2627">
        <v>80000</v>
      </c>
      <c r="H51" s="2621" t="s">
        <v>51</v>
      </c>
      <c r="I51" s="2622">
        <v>4</v>
      </c>
      <c r="J51" s="2621" t="s">
        <v>21</v>
      </c>
      <c r="K51" s="2623">
        <v>12</v>
      </c>
      <c r="L51" s="2628"/>
      <c r="M51" s="2623"/>
      <c r="N51" s="2624"/>
      <c r="O51" s="2624" t="s">
        <v>820</v>
      </c>
      <c r="P51" s="2625">
        <f>ROUNDUP(G51*I51*K51,-3)</f>
        <v>3840000</v>
      </c>
      <c r="Q51" s="2629"/>
      <c r="R51" s="2630"/>
      <c r="S51" s="2631"/>
      <c r="T51" s="2632"/>
    </row>
    <row r="52" spans="1:23" ht="14.45" customHeight="1">
      <c r="A52" s="513"/>
      <c r="B52" s="522"/>
      <c r="C52" s="531"/>
      <c r="D52" s="522"/>
      <c r="E52" s="3389"/>
      <c r="F52" s="2626" t="s">
        <v>974</v>
      </c>
      <c r="G52" s="2627">
        <v>60000</v>
      </c>
      <c r="H52" s="2621" t="s">
        <v>817</v>
      </c>
      <c r="I52" s="2622">
        <v>7</v>
      </c>
      <c r="J52" s="2621" t="s">
        <v>21</v>
      </c>
      <c r="K52" s="2623">
        <v>12</v>
      </c>
      <c r="L52" s="2628"/>
      <c r="M52" s="2623"/>
      <c r="N52" s="2624"/>
      <c r="O52" s="2624" t="s">
        <v>988</v>
      </c>
      <c r="P52" s="2625">
        <f>ROUNDUP(G52*I52*K52,-3)</f>
        <v>5040000</v>
      </c>
      <c r="Q52" s="2629"/>
      <c r="R52" s="2630"/>
      <c r="S52" s="2631"/>
      <c r="T52" s="2632"/>
    </row>
    <row r="53" spans="1:23" ht="14.45" customHeight="1">
      <c r="A53" s="513"/>
      <c r="B53" s="522"/>
      <c r="C53" s="531"/>
      <c r="D53" s="522"/>
      <c r="E53" s="3388"/>
      <c r="F53" s="2626" t="s">
        <v>975</v>
      </c>
      <c r="G53" s="2627">
        <v>50000</v>
      </c>
      <c r="H53" s="2621" t="s">
        <v>817</v>
      </c>
      <c r="I53" s="2622">
        <v>16</v>
      </c>
      <c r="J53" s="2621" t="s">
        <v>21</v>
      </c>
      <c r="K53" s="2623">
        <v>12</v>
      </c>
      <c r="L53" s="2628"/>
      <c r="M53" s="2623"/>
      <c r="N53" s="2624"/>
      <c r="O53" s="2624" t="s">
        <v>820</v>
      </c>
      <c r="P53" s="2625">
        <f>ROUNDUP(G53*I53*K53,-3)</f>
        <v>9600000</v>
      </c>
      <c r="Q53" s="2629"/>
      <c r="R53" s="2630"/>
      <c r="S53" s="2631"/>
      <c r="T53" s="2632"/>
    </row>
    <row r="54" spans="1:23" ht="14.45" customHeight="1">
      <c r="A54" s="513"/>
      <c r="B54" s="522"/>
      <c r="C54" s="531"/>
      <c r="D54" s="522"/>
      <c r="E54" s="3388"/>
      <c r="F54" s="2613" t="s">
        <v>976</v>
      </c>
      <c r="G54" s="2614"/>
      <c r="H54" s="2615"/>
      <c r="I54" s="2615"/>
      <c r="J54" s="2615"/>
      <c r="K54" s="2615"/>
      <c r="L54" s="2616"/>
      <c r="M54" s="2615"/>
      <c r="N54" s="2617"/>
      <c r="O54" s="2617"/>
      <c r="P54" s="2639">
        <f>SUM(P55:P59)</f>
        <v>116666000</v>
      </c>
      <c r="Q54" s="653">
        <f>P54</f>
        <v>116666000</v>
      </c>
      <c r="R54" s="1755">
        <v>23260000</v>
      </c>
      <c r="S54" s="2598">
        <f>Q54-R54</f>
        <v>93406000</v>
      </c>
      <c r="T54" s="2599">
        <f>S54/R54</f>
        <v>4.0157351676698196</v>
      </c>
    </row>
    <row r="55" spans="1:23" ht="14.45" customHeight="1">
      <c r="A55" s="513"/>
      <c r="B55" s="522"/>
      <c r="C55" s="531"/>
      <c r="D55" s="522"/>
      <c r="E55" s="3388"/>
      <c r="F55" s="2600" t="s">
        <v>960</v>
      </c>
      <c r="G55" s="2627">
        <v>2198600</v>
      </c>
      <c r="H55" s="2621" t="s">
        <v>991</v>
      </c>
      <c r="I55" s="2603">
        <v>2</v>
      </c>
      <c r="J55" s="2621" t="s">
        <v>21</v>
      </c>
      <c r="K55" s="2623">
        <v>2</v>
      </c>
      <c r="L55" s="2634"/>
      <c r="M55" s="2635"/>
      <c r="N55" s="2624"/>
      <c r="O55" s="2624" t="s">
        <v>988</v>
      </c>
      <c r="P55" s="2640">
        <f>ROUNDUP(G55*I55*K55,-3)</f>
        <v>8795000</v>
      </c>
      <c r="Q55" s="2629"/>
      <c r="R55" s="2630"/>
      <c r="S55" s="2631"/>
      <c r="T55" s="2632"/>
    </row>
    <row r="56" spans="1:23" ht="14.45" customHeight="1">
      <c r="A56" s="513"/>
      <c r="B56" s="522"/>
      <c r="C56" s="531"/>
      <c r="D56" s="522"/>
      <c r="E56" s="3388"/>
      <c r="F56" s="2600" t="s">
        <v>961</v>
      </c>
      <c r="G56" s="2627">
        <v>1899200</v>
      </c>
      <c r="H56" s="2621" t="s">
        <v>817</v>
      </c>
      <c r="I56" s="2603">
        <v>4</v>
      </c>
      <c r="J56" s="2621" t="s">
        <v>21</v>
      </c>
      <c r="K56" s="2623">
        <v>2</v>
      </c>
      <c r="L56" s="2634"/>
      <c r="M56" s="2635"/>
      <c r="N56" s="2624"/>
      <c r="O56" s="2624" t="s">
        <v>820</v>
      </c>
      <c r="P56" s="2625">
        <f>ROUNDUP(G56*I56*K56,-3)</f>
        <v>15194000</v>
      </c>
      <c r="Q56" s="2629"/>
      <c r="R56" s="2630"/>
      <c r="S56" s="2631"/>
      <c r="T56" s="2632"/>
    </row>
    <row r="57" spans="1:23" ht="14.45" customHeight="1">
      <c r="A57" s="513"/>
      <c r="B57" s="522"/>
      <c r="C57" s="531"/>
      <c r="D57" s="522"/>
      <c r="E57" s="3388"/>
      <c r="F57" s="2600" t="s">
        <v>998</v>
      </c>
      <c r="G57" s="2627">
        <v>1695000</v>
      </c>
      <c r="H57" s="2621" t="s">
        <v>817</v>
      </c>
      <c r="I57" s="2603">
        <v>4</v>
      </c>
      <c r="J57" s="2621" t="s">
        <v>21</v>
      </c>
      <c r="K57" s="2623">
        <v>2</v>
      </c>
      <c r="L57" s="2634"/>
      <c r="M57" s="2635"/>
      <c r="N57" s="2624"/>
      <c r="O57" s="2624" t="s">
        <v>820</v>
      </c>
      <c r="P57" s="2625">
        <f>ROUNDUP(G57*I57*K57,-3)</f>
        <v>13560000</v>
      </c>
      <c r="Q57" s="2629"/>
      <c r="R57" s="2630"/>
      <c r="S57" s="2631"/>
      <c r="T57" s="2632"/>
    </row>
    <row r="58" spans="1:23" ht="14.45" customHeight="1">
      <c r="A58" s="513"/>
      <c r="B58" s="522"/>
      <c r="C58" s="531"/>
      <c r="D58" s="522"/>
      <c r="E58" s="3388"/>
      <c r="F58" s="2600" t="s">
        <v>1001</v>
      </c>
      <c r="G58" s="2627">
        <v>1247800</v>
      </c>
      <c r="H58" s="2621" t="s">
        <v>991</v>
      </c>
      <c r="I58" s="2603">
        <v>19</v>
      </c>
      <c r="J58" s="2621" t="s">
        <v>21</v>
      </c>
      <c r="K58" s="2623">
        <v>2</v>
      </c>
      <c r="L58" s="2634"/>
      <c r="M58" s="2635"/>
      <c r="N58" s="2624"/>
      <c r="O58" s="2624" t="s">
        <v>988</v>
      </c>
      <c r="P58" s="2625">
        <f>ROUNDUP(G58*I58*K58,-3)</f>
        <v>47417000</v>
      </c>
      <c r="Q58" s="2629"/>
      <c r="R58" s="2630"/>
      <c r="S58" s="2631"/>
      <c r="T58" s="2632"/>
    </row>
    <row r="59" spans="1:23" ht="14.45" customHeight="1">
      <c r="A59" s="513"/>
      <c r="B59" s="522"/>
      <c r="C59" s="531"/>
      <c r="D59" s="522"/>
      <c r="E59" s="3389"/>
      <c r="F59" s="2600" t="s">
        <v>986</v>
      </c>
      <c r="G59" s="2627">
        <v>990600</v>
      </c>
      <c r="H59" s="2621" t="s">
        <v>817</v>
      </c>
      <c r="I59" s="2603">
        <v>16</v>
      </c>
      <c r="J59" s="2621" t="s">
        <v>21</v>
      </c>
      <c r="K59" s="2623">
        <v>2</v>
      </c>
      <c r="L59" s="2634"/>
      <c r="M59" s="2635"/>
      <c r="N59" s="2624"/>
      <c r="O59" s="2624" t="s">
        <v>820</v>
      </c>
      <c r="P59" s="2625">
        <f>ROUNDUP(G59*I59*K59,-3)</f>
        <v>31700000</v>
      </c>
      <c r="Q59" s="2629"/>
      <c r="R59" s="2630"/>
      <c r="S59" s="2631"/>
      <c r="T59" s="2632"/>
    </row>
    <row r="60" spans="1:23" ht="14.45" customHeight="1">
      <c r="A60" s="513"/>
      <c r="B60" s="522"/>
      <c r="C60" s="531"/>
      <c r="D60" s="522"/>
      <c r="E60" s="3388"/>
      <c r="F60" s="2613" t="s">
        <v>1002</v>
      </c>
      <c r="G60" s="2614"/>
      <c r="H60" s="2615"/>
      <c r="I60" s="2615"/>
      <c r="J60" s="2615"/>
      <c r="K60" s="2615"/>
      <c r="L60" s="2616"/>
      <c r="M60" s="2615"/>
      <c r="N60" s="2617"/>
      <c r="O60" s="2617"/>
      <c r="P60" s="2618">
        <f>SUM(P61:P61)</f>
        <v>24640000</v>
      </c>
      <c r="Q60" s="653">
        <f>P60</f>
        <v>24640000</v>
      </c>
      <c r="R60" s="1755">
        <v>5160000</v>
      </c>
      <c r="S60" s="2598">
        <f>Q60-R60</f>
        <v>19480000</v>
      </c>
      <c r="T60" s="2599">
        <f>S60/R60</f>
        <v>3.7751937984496124</v>
      </c>
    </row>
    <row r="61" spans="1:23" ht="14.45" customHeight="1">
      <c r="A61" s="513"/>
      <c r="B61" s="522"/>
      <c r="C61" s="531"/>
      <c r="D61" s="522"/>
      <c r="E61" s="3388"/>
      <c r="F61" s="2600" t="s">
        <v>978</v>
      </c>
      <c r="G61" s="2627">
        <v>104850</v>
      </c>
      <c r="H61" s="2621" t="s">
        <v>817</v>
      </c>
      <c r="I61" s="2622">
        <v>47</v>
      </c>
      <c r="J61" s="2621" t="s">
        <v>21</v>
      </c>
      <c r="K61" s="2641">
        <v>5</v>
      </c>
      <c r="L61" s="2634"/>
      <c r="M61" s="2635"/>
      <c r="N61" s="2624"/>
      <c r="O61" s="2624" t="s">
        <v>32</v>
      </c>
      <c r="P61" s="2625">
        <f>ROUNDUP(G61*I61*K61,-3)</f>
        <v>24640000</v>
      </c>
      <c r="Q61" s="2642"/>
      <c r="R61" s="2643"/>
      <c r="S61" s="2644"/>
      <c r="T61" s="2645"/>
    </row>
    <row r="62" spans="1:23" ht="14.45" customHeight="1">
      <c r="A62" s="513"/>
      <c r="B62" s="522"/>
      <c r="C62" s="531"/>
      <c r="D62" s="522"/>
      <c r="E62" s="3389"/>
      <c r="F62" s="2613" t="s">
        <v>2131</v>
      </c>
      <c r="G62" s="2614"/>
      <c r="H62" s="2615"/>
      <c r="I62" s="2615"/>
      <c r="J62" s="2615"/>
      <c r="K62" s="2615"/>
      <c r="L62" s="2616"/>
      <c r="M62" s="2615"/>
      <c r="N62" s="2617"/>
      <c r="O62" s="2617"/>
      <c r="P62" s="2618">
        <f>SUM(P63:P63)</f>
        <v>1880000</v>
      </c>
      <c r="Q62" s="653">
        <f>P62</f>
        <v>1880000</v>
      </c>
      <c r="R62" s="1755">
        <v>0</v>
      </c>
      <c r="S62" s="2598">
        <f>Q62-R62</f>
        <v>1880000</v>
      </c>
      <c r="T62" s="2599"/>
    </row>
    <row r="63" spans="1:23" ht="14.45" customHeight="1">
      <c r="A63" s="513"/>
      <c r="B63" s="522"/>
      <c r="C63" s="531"/>
      <c r="D63" s="522"/>
      <c r="E63" s="3388"/>
      <c r="F63" s="2600" t="s">
        <v>2132</v>
      </c>
      <c r="G63" s="2646">
        <v>470000</v>
      </c>
      <c r="H63" s="2602" t="s">
        <v>125</v>
      </c>
      <c r="I63" s="2603">
        <v>1</v>
      </c>
      <c r="J63" s="2602" t="s">
        <v>21</v>
      </c>
      <c r="K63" s="2604">
        <v>4</v>
      </c>
      <c r="L63" s="2647"/>
      <c r="M63" s="2648"/>
      <c r="N63" s="2606"/>
      <c r="O63" s="2606" t="s">
        <v>122</v>
      </c>
      <c r="P63" s="2607">
        <f>ROUNDUP(G63*I63*K63,-3)</f>
        <v>1880000</v>
      </c>
      <c r="Q63" s="2629"/>
      <c r="R63" s="2630"/>
      <c r="S63" s="2631"/>
      <c r="T63" s="2632"/>
    </row>
    <row r="64" spans="1:23" ht="14.45" customHeight="1">
      <c r="A64" s="513"/>
      <c r="B64" s="522"/>
      <c r="C64" s="531"/>
      <c r="D64" s="522"/>
      <c r="E64" s="3389"/>
      <c r="F64" s="2613" t="s">
        <v>979</v>
      </c>
      <c r="G64" s="2614"/>
      <c r="H64" s="2615"/>
      <c r="I64" s="2615"/>
      <c r="J64" s="2615"/>
      <c r="K64" s="2615"/>
      <c r="L64" s="2616"/>
      <c r="M64" s="2615"/>
      <c r="N64" s="2617"/>
      <c r="O64" s="2617"/>
      <c r="P64" s="2618">
        <f>SUM(P65:P65)</f>
        <v>2500000</v>
      </c>
      <c r="Q64" s="653">
        <f>P64</f>
        <v>2500000</v>
      </c>
      <c r="R64" s="1755">
        <v>0</v>
      </c>
      <c r="S64" s="2598">
        <f>Q64-R64</f>
        <v>2500000</v>
      </c>
      <c r="T64" s="2599"/>
    </row>
    <row r="65" spans="1:24" ht="14.45" customHeight="1">
      <c r="A65" s="513"/>
      <c r="B65" s="522"/>
      <c r="C65" s="531"/>
      <c r="D65" s="522"/>
      <c r="E65" s="3388"/>
      <c r="F65" s="2600" t="s">
        <v>1003</v>
      </c>
      <c r="G65" s="2646">
        <v>500000</v>
      </c>
      <c r="H65" s="2602" t="s">
        <v>817</v>
      </c>
      <c r="I65" s="2603">
        <v>1</v>
      </c>
      <c r="J65" s="2602" t="s">
        <v>21</v>
      </c>
      <c r="K65" s="2604">
        <v>5</v>
      </c>
      <c r="L65" s="2647"/>
      <c r="M65" s="2648"/>
      <c r="N65" s="2606"/>
      <c r="O65" s="2606" t="s">
        <v>820</v>
      </c>
      <c r="P65" s="2607">
        <f>ROUNDUP(G65*I65*K65,-3)</f>
        <v>2500000</v>
      </c>
      <c r="Q65" s="2629"/>
      <c r="R65" s="2630"/>
      <c r="S65" s="2631"/>
      <c r="T65" s="2632"/>
    </row>
    <row r="66" spans="1:24" ht="14.45" customHeight="1">
      <c r="A66" s="513"/>
      <c r="B66" s="522"/>
      <c r="C66" s="531"/>
      <c r="D66" s="522"/>
      <c r="E66" s="3637" t="s">
        <v>432</v>
      </c>
      <c r="F66" s="3638"/>
      <c r="G66" s="3638"/>
      <c r="H66" s="3638"/>
      <c r="I66" s="3638"/>
      <c r="J66" s="3638"/>
      <c r="K66" s="3638"/>
      <c r="L66" s="3638"/>
      <c r="M66" s="3638"/>
      <c r="N66" s="3638"/>
      <c r="O66" s="3638"/>
      <c r="P66" s="3639"/>
      <c r="Q66" s="540">
        <v>0</v>
      </c>
      <c r="R66" s="540">
        <v>6538000</v>
      </c>
      <c r="S66" s="541">
        <f>Q66-R66</f>
        <v>-6538000</v>
      </c>
      <c r="T66" s="542">
        <f>S66/R66</f>
        <v>-1</v>
      </c>
    </row>
    <row r="67" spans="1:24" ht="14.45" customHeight="1">
      <c r="A67" s="513"/>
      <c r="B67" s="522"/>
      <c r="C67" s="531"/>
      <c r="D67" s="522"/>
      <c r="E67" s="3637" t="s">
        <v>185</v>
      </c>
      <c r="F67" s="3638"/>
      <c r="G67" s="3638"/>
      <c r="H67" s="3638"/>
      <c r="I67" s="3638"/>
      <c r="J67" s="3638"/>
      <c r="K67" s="3638"/>
      <c r="L67" s="3638"/>
      <c r="M67" s="3638"/>
      <c r="N67" s="3638"/>
      <c r="O67" s="3638"/>
      <c r="P67" s="3639"/>
      <c r="Q67" s="540">
        <f>SUM(P68)</f>
        <v>169240000</v>
      </c>
      <c r="R67" s="540">
        <v>43338000</v>
      </c>
      <c r="S67" s="541">
        <f>Q67-R67</f>
        <v>125902000</v>
      </c>
      <c r="T67" s="542">
        <f>S67/R67</f>
        <v>2.9051179103788822</v>
      </c>
    </row>
    <row r="68" spans="1:24" ht="14.45" customHeight="1">
      <c r="A68" s="513"/>
      <c r="B68" s="522"/>
      <c r="C68" s="531"/>
      <c r="D68" s="522"/>
      <c r="F68" s="2592" t="s">
        <v>52</v>
      </c>
      <c r="G68" s="2593"/>
      <c r="H68" s="2594"/>
      <c r="I68" s="2594"/>
      <c r="J68" s="2594"/>
      <c r="K68" s="2594"/>
      <c r="L68" s="2595"/>
      <c r="M68" s="2594"/>
      <c r="N68" s="2596"/>
      <c r="O68" s="2596"/>
      <c r="P68" s="2597">
        <f>SUM(P69:P69)</f>
        <v>169240000</v>
      </c>
      <c r="Q68" s="653">
        <f>P68</f>
        <v>169240000</v>
      </c>
      <c r="R68" s="1755">
        <v>43338000</v>
      </c>
      <c r="S68" s="2598">
        <f>Q68-R68</f>
        <v>125902000</v>
      </c>
      <c r="T68" s="2649">
        <f>S68/R68</f>
        <v>2.9051179103788822</v>
      </c>
    </row>
    <row r="69" spans="1:24" ht="14.45" customHeight="1">
      <c r="A69" s="513"/>
      <c r="B69" s="522"/>
      <c r="C69" s="531"/>
      <c r="D69" s="522"/>
      <c r="E69" s="3388"/>
      <c r="F69" s="2247" t="s">
        <v>53</v>
      </c>
      <c r="G69" s="2650">
        <f>Q9+Q18</f>
        <v>2030871000</v>
      </c>
      <c r="H69" s="2249" t="s">
        <v>21</v>
      </c>
      <c r="I69" s="3748">
        <v>12</v>
      </c>
      <c r="J69" s="3748"/>
      <c r="K69" s="2251"/>
      <c r="L69" s="2252"/>
      <c r="M69" s="2251"/>
      <c r="N69" s="2253"/>
      <c r="O69" s="2253" t="s">
        <v>22</v>
      </c>
      <c r="P69" s="2254">
        <f>ROUNDUP((G69/12),-3)</f>
        <v>169240000</v>
      </c>
      <c r="Q69" s="2630"/>
      <c r="R69" s="2630"/>
      <c r="S69" s="2631"/>
      <c r="T69" s="2651"/>
    </row>
    <row r="70" spans="1:24" ht="14.45" customHeight="1">
      <c r="A70" s="513"/>
      <c r="B70" s="522"/>
      <c r="C70" s="531"/>
      <c r="D70" s="2263" t="s">
        <v>54</v>
      </c>
      <c r="E70" s="3387"/>
      <c r="F70" s="2586"/>
      <c r="G70" s="2587"/>
      <c r="H70" s="2263"/>
      <c r="I70" s="2263"/>
      <c r="J70" s="2263"/>
      <c r="K70" s="2263"/>
      <c r="L70" s="2585"/>
      <c r="M70" s="2263"/>
      <c r="N70" s="2588"/>
      <c r="O70" s="2588"/>
      <c r="P70" s="2263"/>
      <c r="Q70" s="2589">
        <f>Q71+Q83+Q87+Q96+Q99+Q109+Q110+Q118+Q126+Q129+Q132+Q135+Q149+Q154+Q159+Q164+Q168+Q175+Q192</f>
        <v>396810000</v>
      </c>
      <c r="R70" s="2589">
        <f>R71+R83+R87+R96+R99+R109+R110+R118+R126+R129+R132+R135+R149+R154+R159+R164+R168+R175+R192</f>
        <v>313140000</v>
      </c>
      <c r="S70" s="2590">
        <f>Q70-R70</f>
        <v>83670000</v>
      </c>
      <c r="T70" s="2652">
        <f>S70/R70</f>
        <v>0.26719678099252731</v>
      </c>
    </row>
    <row r="71" spans="1:24" ht="14.45" customHeight="1">
      <c r="A71" s="513"/>
      <c r="B71" s="522"/>
      <c r="C71" s="531"/>
      <c r="D71" s="522"/>
      <c r="E71" s="3637" t="s">
        <v>3003</v>
      </c>
      <c r="F71" s="3638"/>
      <c r="G71" s="3638"/>
      <c r="H71" s="3638"/>
      <c r="I71" s="3638"/>
      <c r="J71" s="3638"/>
      <c r="K71" s="3638"/>
      <c r="L71" s="3638"/>
      <c r="M71" s="3638"/>
      <c r="N71" s="3638"/>
      <c r="O71" s="3638"/>
      <c r="P71" s="3639"/>
      <c r="Q71" s="540">
        <f>P72+P78+P80</f>
        <v>218523000</v>
      </c>
      <c r="R71" s="540">
        <f>R72+R78+R80</f>
        <v>75070000</v>
      </c>
      <c r="S71" s="541">
        <f>Q71-R71</f>
        <v>143453000</v>
      </c>
      <c r="T71" s="542">
        <f>S71/R71</f>
        <v>1.9109231384041561</v>
      </c>
    </row>
    <row r="72" spans="1:24" ht="14.45" customHeight="1">
      <c r="A72" s="513"/>
      <c r="B72" s="522"/>
      <c r="C72" s="531"/>
      <c r="D72" s="522"/>
      <c r="F72" s="2592" t="s">
        <v>56</v>
      </c>
      <c r="G72" s="2593"/>
      <c r="H72" s="2594"/>
      <c r="I72" s="2594"/>
      <c r="J72" s="2594"/>
      <c r="K72" s="2594"/>
      <c r="L72" s="2595"/>
      <c r="M72" s="2594"/>
      <c r="N72" s="2596"/>
      <c r="O72" s="2596"/>
      <c r="P72" s="2597">
        <f>SUM(P73:P77)</f>
        <v>202283000</v>
      </c>
      <c r="Q72" s="653">
        <f>P72</f>
        <v>202283000</v>
      </c>
      <c r="R72" s="1755">
        <v>50872000</v>
      </c>
      <c r="S72" s="2598">
        <f>Q72-R72</f>
        <v>151411000</v>
      </c>
      <c r="T72" s="2649">
        <f>S72/R72</f>
        <v>2.9763130995439533</v>
      </c>
    </row>
    <row r="73" spans="1:24" ht="14.45" customHeight="1">
      <c r="A73" s="513"/>
      <c r="B73" s="522"/>
      <c r="C73" s="531"/>
      <c r="D73" s="522"/>
      <c r="E73" s="3388"/>
      <c r="F73" s="2275" t="s">
        <v>57</v>
      </c>
      <c r="G73" s="2653">
        <f>G69+Q66</f>
        <v>2030871000</v>
      </c>
      <c r="H73" s="2654" t="s">
        <v>21</v>
      </c>
      <c r="I73" s="3749">
        <v>4.4999999999999998E-2</v>
      </c>
      <c r="J73" s="3749"/>
      <c r="K73" s="2278"/>
      <c r="L73" s="2279"/>
      <c r="M73" s="2278"/>
      <c r="N73" s="2655"/>
      <c r="O73" s="2655" t="s">
        <v>22</v>
      </c>
      <c r="P73" s="2281">
        <f>ROUNDUP(G73*I73,-3)</f>
        <v>91390000</v>
      </c>
      <c r="Q73" s="2608"/>
      <c r="R73" s="2194"/>
      <c r="S73" s="2609"/>
      <c r="T73" s="2656"/>
    </row>
    <row r="74" spans="1:24" ht="14.45" customHeight="1">
      <c r="A74" s="513"/>
      <c r="B74" s="522"/>
      <c r="C74" s="531"/>
      <c r="D74" s="522"/>
      <c r="E74" s="3389"/>
      <c r="F74" s="2282" t="s">
        <v>58</v>
      </c>
      <c r="G74" s="2653">
        <f>G73</f>
        <v>2030871000</v>
      </c>
      <c r="H74" s="2654" t="s">
        <v>21</v>
      </c>
      <c r="I74" s="3749">
        <v>3.1199999999999999E-2</v>
      </c>
      <c r="J74" s="3749"/>
      <c r="K74" s="2278"/>
      <c r="L74" s="2279"/>
      <c r="M74" s="2278"/>
      <c r="N74" s="2655"/>
      <c r="O74" s="2655" t="s">
        <v>22</v>
      </c>
      <c r="P74" s="2281">
        <f>ROUNDUP(G74*I74,-3)</f>
        <v>63364000</v>
      </c>
      <c r="Q74" s="2608"/>
      <c r="R74" s="2194"/>
      <c r="S74" s="2609"/>
      <c r="T74" s="2656"/>
    </row>
    <row r="75" spans="1:24" ht="14.45" customHeight="1">
      <c r="A75" s="513"/>
      <c r="B75" s="522"/>
      <c r="C75" s="531"/>
      <c r="D75" s="522"/>
      <c r="E75" s="3389"/>
      <c r="F75" s="2282" t="s">
        <v>59</v>
      </c>
      <c r="G75" s="2653">
        <f>P74</f>
        <v>63364000</v>
      </c>
      <c r="H75" s="2654" t="s">
        <v>21</v>
      </c>
      <c r="I75" s="3749">
        <v>7.3800000000000004E-2</v>
      </c>
      <c r="J75" s="3749"/>
      <c r="K75" s="2278"/>
      <c r="L75" s="2279"/>
      <c r="M75" s="2278"/>
      <c r="N75" s="2655"/>
      <c r="O75" s="2655" t="s">
        <v>22</v>
      </c>
      <c r="P75" s="2281">
        <f>ROUNDUP(G75*I75,-3)</f>
        <v>4677000</v>
      </c>
      <c r="Q75" s="2608"/>
      <c r="R75" s="2194"/>
      <c r="S75" s="2609"/>
      <c r="T75" s="2656"/>
    </row>
    <row r="76" spans="1:24" ht="14.45" customHeight="1">
      <c r="A76" s="513"/>
      <c r="B76" s="522"/>
      <c r="C76" s="531"/>
      <c r="D76" s="522"/>
      <c r="E76" s="3389"/>
      <c r="F76" s="2282" t="s">
        <v>60</v>
      </c>
      <c r="G76" s="2653">
        <f>G74</f>
        <v>2030871000</v>
      </c>
      <c r="H76" s="2654" t="s">
        <v>21</v>
      </c>
      <c r="I76" s="3749">
        <v>8.9999999999999993E-3</v>
      </c>
      <c r="J76" s="3749"/>
      <c r="K76" s="2278"/>
      <c r="L76" s="2279"/>
      <c r="M76" s="2278"/>
      <c r="N76" s="2655"/>
      <c r="O76" s="2655" t="s">
        <v>22</v>
      </c>
      <c r="P76" s="2281">
        <f>ROUNDUP(G76*I76,-3)</f>
        <v>18278000</v>
      </c>
      <c r="Q76" s="2608"/>
      <c r="R76" s="2194"/>
      <c r="S76" s="2609"/>
      <c r="T76" s="2656"/>
    </row>
    <row r="77" spans="1:24" ht="14.45" customHeight="1">
      <c r="A77" s="513"/>
      <c r="B77" s="522"/>
      <c r="C77" s="531"/>
      <c r="D77" s="522"/>
      <c r="E77" s="3389"/>
      <c r="F77" s="2296" t="s">
        <v>61</v>
      </c>
      <c r="G77" s="3002">
        <f>G76</f>
        <v>2030871000</v>
      </c>
      <c r="H77" s="3003" t="s">
        <v>21</v>
      </c>
      <c r="I77" s="3741">
        <v>1.21E-2</v>
      </c>
      <c r="J77" s="3741"/>
      <c r="K77" s="2311"/>
      <c r="L77" s="2312"/>
      <c r="M77" s="2311"/>
      <c r="N77" s="3004"/>
      <c r="O77" s="3004" t="s">
        <v>22</v>
      </c>
      <c r="P77" s="2314">
        <f>ROUNDUP(G77*I77,-3)</f>
        <v>24574000</v>
      </c>
      <c r="Q77" s="3005"/>
      <c r="R77" s="2669"/>
      <c r="S77" s="2670"/>
      <c r="T77" s="3006"/>
    </row>
    <row r="78" spans="1:24" ht="14.45" customHeight="1">
      <c r="A78" s="513"/>
      <c r="B78" s="522"/>
      <c r="C78" s="531"/>
      <c r="D78" s="522"/>
      <c r="E78" s="3389"/>
      <c r="F78" s="3462" t="s">
        <v>41</v>
      </c>
      <c r="G78" s="3463"/>
      <c r="H78" s="3464"/>
      <c r="I78" s="3465"/>
      <c r="J78" s="3465"/>
      <c r="K78" s="3466"/>
      <c r="L78" s="3467"/>
      <c r="M78" s="3466"/>
      <c r="N78" s="3468"/>
      <c r="O78" s="3468"/>
      <c r="P78" s="3469">
        <f>SUM(P79)</f>
        <v>3840000</v>
      </c>
      <c r="Q78" s="957">
        <f>P78</f>
        <v>3840000</v>
      </c>
      <c r="R78" s="2729">
        <v>8448000</v>
      </c>
      <c r="S78" s="3470">
        <f>Q78-R78</f>
        <v>-4608000</v>
      </c>
      <c r="T78" s="3471">
        <f>S78/R78</f>
        <v>-0.54545454545454541</v>
      </c>
    </row>
    <row r="79" spans="1:24" ht="14.45" customHeight="1">
      <c r="A79" s="2661"/>
      <c r="B79" s="551"/>
      <c r="C79" s="515"/>
      <c r="D79" s="551"/>
      <c r="E79" s="3391"/>
      <c r="F79" s="3472" t="s">
        <v>62</v>
      </c>
      <c r="G79" s="2663">
        <v>8000</v>
      </c>
      <c r="H79" s="2664" t="s">
        <v>21</v>
      </c>
      <c r="I79" s="3473">
        <v>5</v>
      </c>
      <c r="J79" s="2664" t="s">
        <v>21</v>
      </c>
      <c r="K79" s="3474">
        <v>8</v>
      </c>
      <c r="L79" s="2664" t="s">
        <v>21</v>
      </c>
      <c r="M79" s="2665">
        <v>12</v>
      </c>
      <c r="N79" s="2667"/>
      <c r="O79" s="2667" t="s">
        <v>22</v>
      </c>
      <c r="P79" s="2668">
        <f>G79*I79*K79*M79</f>
        <v>3840000</v>
      </c>
      <c r="Q79" s="2734"/>
      <c r="R79" s="2734"/>
      <c r="S79" s="2735"/>
      <c r="T79" s="3475"/>
      <c r="X79" s="2582"/>
    </row>
    <row r="80" spans="1:24" ht="14.45" customHeight="1">
      <c r="A80" s="513"/>
      <c r="B80" s="522"/>
      <c r="C80" s="531"/>
      <c r="D80" s="522"/>
      <c r="F80" s="2592" t="s">
        <v>63</v>
      </c>
      <c r="G80" s="2593"/>
      <c r="H80" s="2594"/>
      <c r="I80" s="2594"/>
      <c r="J80" s="2594"/>
      <c r="K80" s="2594"/>
      <c r="L80" s="2595"/>
      <c r="M80" s="2594"/>
      <c r="N80" s="2596"/>
      <c r="O80" s="2596"/>
      <c r="P80" s="2597">
        <f>SUM(P81:P82)</f>
        <v>12400000</v>
      </c>
      <c r="Q80" s="653">
        <f>P80</f>
        <v>12400000</v>
      </c>
      <c r="R80" s="1755">
        <v>15750000</v>
      </c>
      <c r="S80" s="2598">
        <f>Q80-R80</f>
        <v>-3350000</v>
      </c>
      <c r="T80" s="2649">
        <f>S80/R80</f>
        <v>-0.21269841269841269</v>
      </c>
    </row>
    <row r="81" spans="1:22" ht="14.45" customHeight="1">
      <c r="A81" s="513"/>
      <c r="B81" s="522"/>
      <c r="C81" s="531"/>
      <c r="D81" s="522"/>
      <c r="E81" s="3389"/>
      <c r="F81" s="2658" t="s">
        <v>64</v>
      </c>
      <c r="G81" s="2650">
        <v>400000</v>
      </c>
      <c r="H81" s="2249" t="s">
        <v>21</v>
      </c>
      <c r="I81" s="2659">
        <v>6</v>
      </c>
      <c r="J81" s="2660"/>
      <c r="K81" s="2251"/>
      <c r="L81" s="2252"/>
      <c r="M81" s="2251"/>
      <c r="N81" s="2253"/>
      <c r="O81" s="2253" t="s">
        <v>22</v>
      </c>
      <c r="P81" s="2254">
        <f>ROUNDUP(G81*I81,-3)</f>
        <v>2400000</v>
      </c>
      <c r="Q81" s="2194"/>
      <c r="R81" s="2194"/>
      <c r="S81" s="2609"/>
      <c r="T81" s="2656"/>
    </row>
    <row r="82" spans="1:22" ht="14.45" customHeight="1">
      <c r="A82" s="513"/>
      <c r="B82" s="522"/>
      <c r="C82" s="531"/>
      <c r="D82" s="522"/>
      <c r="E82" s="3389"/>
      <c r="F82" s="2658" t="s">
        <v>65</v>
      </c>
      <c r="G82" s="2650">
        <v>1000000</v>
      </c>
      <c r="H82" s="2249" t="s">
        <v>21</v>
      </c>
      <c r="I82" s="2659">
        <v>10</v>
      </c>
      <c r="J82" s="2660"/>
      <c r="K82" s="2251"/>
      <c r="L82" s="2252"/>
      <c r="M82" s="2251"/>
      <c r="N82" s="2253"/>
      <c r="O82" s="2253" t="s">
        <v>22</v>
      </c>
      <c r="P82" s="2254">
        <f>ROUNDUP(G82*I82,-3)</f>
        <v>10000000</v>
      </c>
      <c r="Q82" s="2194"/>
      <c r="R82" s="2194"/>
      <c r="S82" s="2609"/>
      <c r="T82" s="2610"/>
    </row>
    <row r="83" spans="1:22" ht="14.45" customHeight="1">
      <c r="A83" s="513"/>
      <c r="B83" s="522"/>
      <c r="C83" s="531"/>
      <c r="D83" s="522"/>
      <c r="E83" s="3637" t="s">
        <v>3033</v>
      </c>
      <c r="F83" s="3638"/>
      <c r="G83" s="3638"/>
      <c r="H83" s="3638"/>
      <c r="I83" s="3638"/>
      <c r="J83" s="3638"/>
      <c r="K83" s="3638"/>
      <c r="L83" s="3638"/>
      <c r="M83" s="3638"/>
      <c r="N83" s="3638"/>
      <c r="O83" s="3638"/>
      <c r="P83" s="3639"/>
      <c r="Q83" s="540">
        <f>SUM(P84)</f>
        <v>12840000</v>
      </c>
      <c r="R83" s="540">
        <v>18600000</v>
      </c>
      <c r="S83" s="541">
        <f>Q83-R83</f>
        <v>-5760000</v>
      </c>
      <c r="T83" s="542">
        <f>S83/R83</f>
        <v>-0.30967741935483872</v>
      </c>
    </row>
    <row r="84" spans="1:22" ht="14.45" customHeight="1">
      <c r="A84" s="513"/>
      <c r="B84" s="522"/>
      <c r="C84" s="531"/>
      <c r="D84" s="522"/>
      <c r="F84" s="2592" t="s">
        <v>66</v>
      </c>
      <c r="G84" s="2593"/>
      <c r="H84" s="2594"/>
      <c r="I84" s="2594"/>
      <c r="J84" s="2594"/>
      <c r="K84" s="2594"/>
      <c r="L84" s="2595"/>
      <c r="M84" s="2594"/>
      <c r="N84" s="2596"/>
      <c r="O84" s="2596"/>
      <c r="P84" s="2597">
        <f>SUM(P85:P86)</f>
        <v>12840000</v>
      </c>
      <c r="Q84" s="653">
        <f>P84</f>
        <v>12840000</v>
      </c>
      <c r="R84" s="1755">
        <v>18600000</v>
      </c>
      <c r="S84" s="2598">
        <f>Q84-R84</f>
        <v>-5760000</v>
      </c>
      <c r="T84" s="2649">
        <f>S84/R84</f>
        <v>-0.30967741935483872</v>
      </c>
    </row>
    <row r="85" spans="1:22" ht="14.45" customHeight="1">
      <c r="A85" s="513"/>
      <c r="B85" s="522"/>
      <c r="C85" s="531"/>
      <c r="D85" s="522"/>
      <c r="E85" s="3388"/>
      <c r="F85" s="2247" t="s">
        <v>67</v>
      </c>
      <c r="G85" s="2650">
        <v>170000</v>
      </c>
      <c r="H85" s="2249" t="s">
        <v>21</v>
      </c>
      <c r="I85" s="2250">
        <v>6</v>
      </c>
      <c r="J85" s="2249" t="s">
        <v>21</v>
      </c>
      <c r="K85" s="2251">
        <v>12</v>
      </c>
      <c r="L85" s="2252"/>
      <c r="M85" s="2251"/>
      <c r="N85" s="2253"/>
      <c r="O85" s="2253" t="s">
        <v>22</v>
      </c>
      <c r="P85" s="2254">
        <f>G85*I85*K85</f>
        <v>12240000</v>
      </c>
      <c r="Q85" s="2194"/>
      <c r="R85" s="2194"/>
      <c r="S85" s="2609"/>
      <c r="T85" s="2610"/>
    </row>
    <row r="86" spans="1:22" ht="14.45" customHeight="1">
      <c r="A86" s="513"/>
      <c r="B86" s="522"/>
      <c r="C86" s="531"/>
      <c r="D86" s="522"/>
      <c r="E86" s="3391"/>
      <c r="F86" s="2672" t="s">
        <v>68</v>
      </c>
      <c r="G86" s="2673">
        <v>100000</v>
      </c>
      <c r="H86" s="2674" t="s">
        <v>21</v>
      </c>
      <c r="I86" s="2675">
        <v>2</v>
      </c>
      <c r="J86" s="2674" t="s">
        <v>21</v>
      </c>
      <c r="K86" s="2676">
        <v>3</v>
      </c>
      <c r="L86" s="2677"/>
      <c r="M86" s="2676"/>
      <c r="N86" s="2678"/>
      <c r="O86" s="2678" t="s">
        <v>22</v>
      </c>
      <c r="P86" s="2679">
        <f>G86*I86*K86</f>
        <v>600000</v>
      </c>
      <c r="Q86" s="2669"/>
      <c r="R86" s="2669"/>
      <c r="S86" s="2670"/>
      <c r="T86" s="2671"/>
    </row>
    <row r="87" spans="1:22" ht="14.45" customHeight="1">
      <c r="A87" s="513"/>
      <c r="B87" s="522"/>
      <c r="C87" s="531"/>
      <c r="D87" s="522"/>
      <c r="E87" s="3637" t="s">
        <v>3032</v>
      </c>
      <c r="F87" s="3638"/>
      <c r="G87" s="3638"/>
      <c r="H87" s="3638"/>
      <c r="I87" s="3638"/>
      <c r="J87" s="3638"/>
      <c r="K87" s="3638"/>
      <c r="L87" s="3638"/>
      <c r="M87" s="3638"/>
      <c r="N87" s="3638"/>
      <c r="O87" s="3638"/>
      <c r="P87" s="3639"/>
      <c r="Q87" s="2680">
        <f>P88+P90+P92+P94</f>
        <v>5847000</v>
      </c>
      <c r="R87" s="2680">
        <f>R88+R90+R92+R94</f>
        <v>6080000</v>
      </c>
      <c r="S87" s="2681">
        <f>Q87-R87</f>
        <v>-233000</v>
      </c>
      <c r="T87" s="2682">
        <f>S87/R87</f>
        <v>-3.8322368421052633E-2</v>
      </c>
      <c r="V87" s="2581"/>
    </row>
    <row r="88" spans="1:22" ht="14.45" customHeight="1">
      <c r="A88" s="513"/>
      <c r="B88" s="522"/>
      <c r="C88" s="531"/>
      <c r="D88" s="522"/>
      <c r="F88" s="2592" t="s">
        <v>69</v>
      </c>
      <c r="G88" s="2593"/>
      <c r="H88" s="2594"/>
      <c r="I88" s="2594"/>
      <c r="J88" s="2594"/>
      <c r="K88" s="2594"/>
      <c r="L88" s="2595"/>
      <c r="M88" s="2594"/>
      <c r="N88" s="2596"/>
      <c r="O88" s="2596"/>
      <c r="P88" s="2597">
        <f>SUM(P89:P89)</f>
        <v>600000</v>
      </c>
      <c r="Q88" s="653">
        <f>P88</f>
        <v>600000</v>
      </c>
      <c r="R88" s="1755">
        <v>960000</v>
      </c>
      <c r="S88" s="2598">
        <f>Q88-R88</f>
        <v>-360000</v>
      </c>
      <c r="T88" s="2649">
        <f>S88/R88</f>
        <v>-0.375</v>
      </c>
      <c r="V88" s="2582"/>
    </row>
    <row r="89" spans="1:22" ht="14.45" customHeight="1">
      <c r="A89" s="513"/>
      <c r="B89" s="522"/>
      <c r="C89" s="531"/>
      <c r="D89" s="522"/>
      <c r="E89" s="3388"/>
      <c r="F89" s="2247" t="s">
        <v>70</v>
      </c>
      <c r="G89" s="2683">
        <v>50000</v>
      </c>
      <c r="H89" s="2684" t="s">
        <v>21</v>
      </c>
      <c r="I89" s="2685">
        <v>1</v>
      </c>
      <c r="J89" s="2686" t="s">
        <v>21</v>
      </c>
      <c r="K89" s="2687">
        <v>12</v>
      </c>
      <c r="L89" s="2688"/>
      <c r="M89" s="2687"/>
      <c r="N89" s="2689"/>
      <c r="O89" s="2689" t="s">
        <v>22</v>
      </c>
      <c r="P89" s="2690">
        <f>ROUNDUP(G89*I89*K89,-3)</f>
        <v>600000</v>
      </c>
      <c r="Q89" s="2194"/>
      <c r="R89" s="2194"/>
      <c r="S89" s="2609"/>
      <c r="T89" s="2610"/>
    </row>
    <row r="90" spans="1:22" ht="14.45" customHeight="1">
      <c r="A90" s="513"/>
      <c r="B90" s="522"/>
      <c r="C90" s="531"/>
      <c r="D90" s="522"/>
      <c r="E90" s="3388"/>
      <c r="F90" s="2592" t="s">
        <v>71</v>
      </c>
      <c r="G90" s="2593"/>
      <c r="H90" s="2594"/>
      <c r="I90" s="2691"/>
      <c r="J90" s="2594"/>
      <c r="K90" s="2594"/>
      <c r="L90" s="2595"/>
      <c r="M90" s="2594"/>
      <c r="N90" s="2596"/>
      <c r="O90" s="2596"/>
      <c r="P90" s="2597">
        <f>SUM(P91:P91)</f>
        <v>3180000</v>
      </c>
      <c r="Q90" s="653">
        <f>P90</f>
        <v>3180000</v>
      </c>
      <c r="R90" s="1755">
        <v>3000000</v>
      </c>
      <c r="S90" s="2598">
        <f>Q90-R90</f>
        <v>180000</v>
      </c>
      <c r="T90" s="2649">
        <f>S90/R90</f>
        <v>0.06</v>
      </c>
    </row>
    <row r="91" spans="1:22" ht="14.45" customHeight="1">
      <c r="A91" s="513"/>
      <c r="B91" s="522"/>
      <c r="C91" s="531"/>
      <c r="D91" s="522"/>
      <c r="E91" s="3388"/>
      <c r="F91" s="2247" t="s">
        <v>72</v>
      </c>
      <c r="G91" s="2683">
        <v>265000</v>
      </c>
      <c r="H91" s="2684" t="s">
        <v>21</v>
      </c>
      <c r="I91" s="2685">
        <v>1</v>
      </c>
      <c r="J91" s="2684" t="s">
        <v>21</v>
      </c>
      <c r="K91" s="2687">
        <v>12</v>
      </c>
      <c r="L91" s="2688"/>
      <c r="M91" s="2687"/>
      <c r="N91" s="2689"/>
      <c r="O91" s="2689" t="s">
        <v>22</v>
      </c>
      <c r="P91" s="2690">
        <f>ROUNDUP(G91*I91*K91,-3)</f>
        <v>3180000</v>
      </c>
      <c r="Q91" s="2194"/>
      <c r="R91" s="2194"/>
      <c r="S91" s="2609"/>
      <c r="T91" s="2610"/>
    </row>
    <row r="92" spans="1:22" ht="14.45" customHeight="1">
      <c r="A92" s="513"/>
      <c r="B92" s="522"/>
      <c r="C92" s="531"/>
      <c r="D92" s="522"/>
      <c r="E92" s="3388"/>
      <c r="F92" s="2592" t="s">
        <v>1005</v>
      </c>
      <c r="G92" s="2593"/>
      <c r="H92" s="2594"/>
      <c r="I92" s="2691"/>
      <c r="J92" s="2594"/>
      <c r="K92" s="2594"/>
      <c r="L92" s="2595"/>
      <c r="M92" s="2594"/>
      <c r="N92" s="2596"/>
      <c r="O92" s="2596"/>
      <c r="P92" s="2597">
        <f>SUM(P93:P93)</f>
        <v>2000000</v>
      </c>
      <c r="Q92" s="653">
        <f>P92</f>
        <v>2000000</v>
      </c>
      <c r="R92" s="1755">
        <v>2000000</v>
      </c>
      <c r="S92" s="2598">
        <f>Q92-R92</f>
        <v>0</v>
      </c>
      <c r="T92" s="2649">
        <f>S92/R92</f>
        <v>0</v>
      </c>
    </row>
    <row r="93" spans="1:22" ht="14.45" customHeight="1">
      <c r="A93" s="513"/>
      <c r="B93" s="522"/>
      <c r="C93" s="531"/>
      <c r="D93" s="522"/>
      <c r="E93" s="3388"/>
      <c r="F93" s="2247" t="s">
        <v>1006</v>
      </c>
      <c r="G93" s="2683">
        <v>2000000</v>
      </c>
      <c r="H93" s="2684" t="s">
        <v>21</v>
      </c>
      <c r="I93" s="2685">
        <v>1</v>
      </c>
      <c r="J93" s="2684"/>
      <c r="K93" s="2687"/>
      <c r="L93" s="2688"/>
      <c r="M93" s="2687"/>
      <c r="N93" s="2689"/>
      <c r="O93" s="2689" t="s">
        <v>22</v>
      </c>
      <c r="P93" s="2690">
        <f>ROUNDUP(G93*I93,-3)</f>
        <v>2000000</v>
      </c>
      <c r="Q93" s="2194"/>
      <c r="R93" s="2194"/>
      <c r="S93" s="2609"/>
      <c r="T93" s="2610"/>
      <c r="V93" s="2581"/>
    </row>
    <row r="94" spans="1:22" ht="14.45" customHeight="1">
      <c r="A94" s="513"/>
      <c r="B94" s="522"/>
      <c r="C94" s="531"/>
      <c r="D94" s="522"/>
      <c r="E94" s="3388"/>
      <c r="F94" s="2592" t="s">
        <v>73</v>
      </c>
      <c r="G94" s="2593"/>
      <c r="H94" s="2594"/>
      <c r="I94" s="2691"/>
      <c r="J94" s="2594"/>
      <c r="K94" s="2594"/>
      <c r="L94" s="2595"/>
      <c r="M94" s="2594"/>
      <c r="N94" s="2596"/>
      <c r="O94" s="2596"/>
      <c r="P94" s="2597">
        <f>SUM(P95:P95)</f>
        <v>67000</v>
      </c>
      <c r="Q94" s="653">
        <f>P94</f>
        <v>67000</v>
      </c>
      <c r="R94" s="1755">
        <v>120000</v>
      </c>
      <c r="S94" s="2598">
        <f>Q94-R94</f>
        <v>-53000</v>
      </c>
      <c r="T94" s="2649">
        <f>S94/R94</f>
        <v>-0.44166666666666665</v>
      </c>
      <c r="V94" s="2581"/>
    </row>
    <row r="95" spans="1:22" ht="14.45" customHeight="1">
      <c r="A95" s="513"/>
      <c r="B95" s="522"/>
      <c r="C95" s="531"/>
      <c r="D95" s="522"/>
      <c r="E95" s="551"/>
      <c r="F95" s="2662" t="s">
        <v>74</v>
      </c>
      <c r="G95" s="2692">
        <v>67000</v>
      </c>
      <c r="H95" s="2674" t="s">
        <v>21</v>
      </c>
      <c r="I95" s="2693">
        <v>1</v>
      </c>
      <c r="J95" s="2674"/>
      <c r="K95" s="2676"/>
      <c r="L95" s="2677"/>
      <c r="M95" s="2676"/>
      <c r="N95" s="2678"/>
      <c r="O95" s="2678" t="s">
        <v>22</v>
      </c>
      <c r="P95" s="2679">
        <f>ROUNDUP(G95*I95,-3)</f>
        <v>67000</v>
      </c>
      <c r="Q95" s="2669"/>
      <c r="R95" s="2669"/>
      <c r="S95" s="2670"/>
      <c r="T95" s="2671"/>
    </row>
    <row r="96" spans="1:22" ht="14.45" customHeight="1">
      <c r="A96" s="513"/>
      <c r="B96" s="522"/>
      <c r="C96" s="531"/>
      <c r="D96" s="522"/>
      <c r="E96" s="3637" t="s">
        <v>189</v>
      </c>
      <c r="F96" s="3638"/>
      <c r="G96" s="3638"/>
      <c r="H96" s="3638"/>
      <c r="I96" s="3638"/>
      <c r="J96" s="3638"/>
      <c r="K96" s="3638"/>
      <c r="L96" s="3638"/>
      <c r="M96" s="3638"/>
      <c r="N96" s="3638"/>
      <c r="O96" s="3638"/>
      <c r="P96" s="3639"/>
      <c r="Q96" s="2680">
        <f>P97</f>
        <v>12000000</v>
      </c>
      <c r="R96" s="2680">
        <v>10800000</v>
      </c>
      <c r="S96" s="2681">
        <f>Q96-R96</f>
        <v>1200000</v>
      </c>
      <c r="T96" s="2682">
        <f>S96/R96</f>
        <v>0.1111111111111111</v>
      </c>
      <c r="V96" s="2581"/>
    </row>
    <row r="97" spans="1:22" ht="14.45" customHeight="1">
      <c r="A97" s="513"/>
      <c r="B97" s="522"/>
      <c r="C97" s="531"/>
      <c r="D97" s="522"/>
      <c r="E97" s="3392"/>
      <c r="F97" s="2592" t="s">
        <v>75</v>
      </c>
      <c r="G97" s="2593"/>
      <c r="H97" s="2594"/>
      <c r="I97" s="2594"/>
      <c r="J97" s="2594"/>
      <c r="K97" s="2594"/>
      <c r="L97" s="2595"/>
      <c r="M97" s="2594"/>
      <c r="N97" s="2596"/>
      <c r="O97" s="2596"/>
      <c r="P97" s="2597">
        <f>SUM(P98:P98)</f>
        <v>12000000</v>
      </c>
      <c r="Q97" s="653">
        <f>P97</f>
        <v>12000000</v>
      </c>
      <c r="R97" s="1755">
        <v>10800000</v>
      </c>
      <c r="S97" s="2598">
        <f>Q97-R97</f>
        <v>1200000</v>
      </c>
      <c r="T97" s="2649">
        <f>S97/R97</f>
        <v>0.1111111111111111</v>
      </c>
    </row>
    <row r="98" spans="1:22" ht="14.45" customHeight="1">
      <c r="A98" s="513"/>
      <c r="B98" s="522"/>
      <c r="C98" s="531"/>
      <c r="D98" s="522"/>
      <c r="E98" s="3393"/>
      <c r="F98" s="2247" t="s">
        <v>1007</v>
      </c>
      <c r="G98" s="2683">
        <v>1000000</v>
      </c>
      <c r="H98" s="2684" t="s">
        <v>21</v>
      </c>
      <c r="I98" s="2685">
        <v>1</v>
      </c>
      <c r="J98" s="2684" t="s">
        <v>21</v>
      </c>
      <c r="K98" s="2688">
        <v>12</v>
      </c>
      <c r="L98" s="2694"/>
      <c r="M98" s="2687"/>
      <c r="N98" s="2689"/>
      <c r="O98" s="2689" t="s">
        <v>22</v>
      </c>
      <c r="P98" s="2690">
        <f>G98*I98*K98</f>
        <v>12000000</v>
      </c>
      <c r="Q98" s="2194"/>
      <c r="R98" s="2194"/>
      <c r="S98" s="2609"/>
      <c r="T98" s="2610"/>
    </row>
    <row r="99" spans="1:22" ht="14.45" customHeight="1">
      <c r="A99" s="513"/>
      <c r="B99" s="522"/>
      <c r="C99" s="531"/>
      <c r="D99" s="522"/>
      <c r="E99" s="3637" t="s">
        <v>76</v>
      </c>
      <c r="F99" s="3638"/>
      <c r="G99" s="3638"/>
      <c r="H99" s="3638"/>
      <c r="I99" s="3638"/>
      <c r="J99" s="3638"/>
      <c r="K99" s="3638"/>
      <c r="L99" s="3638"/>
      <c r="M99" s="3638"/>
      <c r="N99" s="3638"/>
      <c r="O99" s="3638"/>
      <c r="P99" s="3639"/>
      <c r="Q99" s="540">
        <f>P100+P103+P105+P107</f>
        <v>8100000</v>
      </c>
      <c r="R99" s="540">
        <f>R100+R103+R105+R107</f>
        <v>8100000</v>
      </c>
      <c r="S99" s="541">
        <f>Q99-R99</f>
        <v>0</v>
      </c>
      <c r="T99" s="542">
        <f>S99/R99</f>
        <v>0</v>
      </c>
      <c r="V99" s="2695"/>
    </row>
    <row r="100" spans="1:22" ht="14.45" customHeight="1">
      <c r="A100" s="513"/>
      <c r="B100" s="522"/>
      <c r="C100" s="531"/>
      <c r="D100" s="522"/>
      <c r="F100" s="2592" t="s">
        <v>77</v>
      </c>
      <c r="G100" s="2593"/>
      <c r="H100" s="2594"/>
      <c r="I100" s="2596"/>
      <c r="J100" s="2594"/>
      <c r="K100" s="2594"/>
      <c r="L100" s="2595"/>
      <c r="M100" s="2594"/>
      <c r="N100" s="2596"/>
      <c r="O100" s="2596"/>
      <c r="P100" s="2597">
        <f>SUM(P101:P102)</f>
        <v>4200000</v>
      </c>
      <c r="Q100" s="653">
        <f>P100</f>
        <v>4200000</v>
      </c>
      <c r="R100" s="1755">
        <v>4200000</v>
      </c>
      <c r="S100" s="2598">
        <f>Q100-R100</f>
        <v>0</v>
      </c>
      <c r="T100" s="2649">
        <f>S100/R100</f>
        <v>0</v>
      </c>
    </row>
    <row r="101" spans="1:22" ht="14.45" customHeight="1">
      <c r="A101" s="513"/>
      <c r="B101" s="522"/>
      <c r="C101" s="531"/>
      <c r="D101" s="522"/>
      <c r="E101" s="3388"/>
      <c r="F101" s="2247" t="s">
        <v>78</v>
      </c>
      <c r="G101" s="2650">
        <v>200000</v>
      </c>
      <c r="H101" s="2249" t="s">
        <v>21</v>
      </c>
      <c r="I101" s="2696">
        <v>1</v>
      </c>
      <c r="J101" s="2249" t="s">
        <v>21</v>
      </c>
      <c r="K101" s="2251">
        <v>12</v>
      </c>
      <c r="L101" s="2252"/>
      <c r="M101" s="2251"/>
      <c r="N101" s="2253"/>
      <c r="O101" s="2253" t="s">
        <v>22</v>
      </c>
      <c r="P101" s="2254">
        <f>ROUNDUP(G101*I101*K101,-3)</f>
        <v>2400000</v>
      </c>
      <c r="Q101" s="2194"/>
      <c r="R101" s="2194"/>
      <c r="S101" s="2609"/>
      <c r="T101" s="2610"/>
      <c r="V101" s="2581"/>
    </row>
    <row r="102" spans="1:22" ht="14.45" customHeight="1">
      <c r="A102" s="513"/>
      <c r="B102" s="522"/>
      <c r="C102" s="531"/>
      <c r="D102" s="522"/>
      <c r="E102" s="3389"/>
      <c r="F102" s="2658" t="s">
        <v>79</v>
      </c>
      <c r="G102" s="2248">
        <v>150000</v>
      </c>
      <c r="H102" s="2249" t="s">
        <v>21</v>
      </c>
      <c r="I102" s="2696">
        <v>1</v>
      </c>
      <c r="J102" s="2249" t="s">
        <v>21</v>
      </c>
      <c r="K102" s="2251">
        <v>12</v>
      </c>
      <c r="L102" s="2252"/>
      <c r="M102" s="2251"/>
      <c r="N102" s="2253"/>
      <c r="O102" s="2253" t="s">
        <v>22</v>
      </c>
      <c r="P102" s="2254">
        <f>ROUNDUP(G102*I102*K102,-3)</f>
        <v>1800000</v>
      </c>
      <c r="Q102" s="2194"/>
      <c r="R102" s="2194"/>
      <c r="S102" s="2609"/>
      <c r="T102" s="2610"/>
    </row>
    <row r="103" spans="1:22" ht="14.45" customHeight="1">
      <c r="A103" s="513"/>
      <c r="B103" s="522"/>
      <c r="C103" s="531"/>
      <c r="D103" s="522"/>
      <c r="F103" s="2592" t="s">
        <v>80</v>
      </c>
      <c r="G103" s="2593"/>
      <c r="H103" s="2594"/>
      <c r="I103" s="2691"/>
      <c r="J103" s="2594"/>
      <c r="K103" s="2594"/>
      <c r="L103" s="2595"/>
      <c r="M103" s="2594"/>
      <c r="N103" s="2596"/>
      <c r="O103" s="2596"/>
      <c r="P103" s="2597">
        <f>SUM(P104:P104)</f>
        <v>3000000</v>
      </c>
      <c r="Q103" s="653">
        <f>P103</f>
        <v>3000000</v>
      </c>
      <c r="R103" s="1755">
        <v>3000000</v>
      </c>
      <c r="S103" s="2598">
        <f>Q103-R103</f>
        <v>0</v>
      </c>
      <c r="T103" s="2649">
        <f>S103/R103</f>
        <v>0</v>
      </c>
    </row>
    <row r="104" spans="1:22" ht="14.45" customHeight="1">
      <c r="A104" s="513"/>
      <c r="B104" s="522"/>
      <c r="C104" s="531"/>
      <c r="D104" s="522"/>
      <c r="E104" s="3389"/>
      <c r="F104" s="2658" t="s">
        <v>1008</v>
      </c>
      <c r="G104" s="2650">
        <v>300000</v>
      </c>
      <c r="H104" s="2249" t="s">
        <v>21</v>
      </c>
      <c r="I104" s="2696">
        <v>10</v>
      </c>
      <c r="J104" s="2249"/>
      <c r="K104" s="2251"/>
      <c r="L104" s="2252"/>
      <c r="M104" s="2251"/>
      <c r="N104" s="2253"/>
      <c r="O104" s="2253" t="s">
        <v>22</v>
      </c>
      <c r="P104" s="2254">
        <f>ROUNDUP(G104*I104,-3)</f>
        <v>3000000</v>
      </c>
      <c r="Q104" s="2194"/>
      <c r="R104" s="2194"/>
      <c r="S104" s="2609"/>
      <c r="T104" s="2610"/>
    </row>
    <row r="105" spans="1:22" ht="14.45" customHeight="1">
      <c r="A105" s="513"/>
      <c r="B105" s="522"/>
      <c r="C105" s="531"/>
      <c r="D105" s="522"/>
      <c r="F105" s="2592" t="s">
        <v>81</v>
      </c>
      <c r="G105" s="2593"/>
      <c r="H105" s="2594"/>
      <c r="I105" s="2691"/>
      <c r="J105" s="2594"/>
      <c r="K105" s="2594"/>
      <c r="L105" s="2595"/>
      <c r="M105" s="2594"/>
      <c r="N105" s="2596"/>
      <c r="O105" s="2596"/>
      <c r="P105" s="2597">
        <f>SUM(P106:P106)</f>
        <v>300000</v>
      </c>
      <c r="Q105" s="653">
        <f>P105</f>
        <v>300000</v>
      </c>
      <c r="R105" s="1755">
        <v>300000</v>
      </c>
      <c r="S105" s="2598">
        <f>Q105-R105</f>
        <v>0</v>
      </c>
      <c r="T105" s="2649">
        <f>S105/R105</f>
        <v>0</v>
      </c>
      <c r="V105" s="2581"/>
    </row>
    <row r="106" spans="1:22" ht="14.45" customHeight="1">
      <c r="A106" s="513"/>
      <c r="B106" s="522"/>
      <c r="C106" s="531"/>
      <c r="D106" s="522"/>
      <c r="E106" s="3389"/>
      <c r="F106" s="2247" t="s">
        <v>82</v>
      </c>
      <c r="G106" s="2650">
        <v>50000</v>
      </c>
      <c r="H106" s="2249" t="s">
        <v>21</v>
      </c>
      <c r="I106" s="2696">
        <v>1</v>
      </c>
      <c r="J106" s="2249" t="s">
        <v>21</v>
      </c>
      <c r="K106" s="2251">
        <v>6</v>
      </c>
      <c r="L106" s="2252"/>
      <c r="M106" s="2251"/>
      <c r="N106" s="2253"/>
      <c r="O106" s="2253" t="s">
        <v>22</v>
      </c>
      <c r="P106" s="2254">
        <f>G106*I106*K106</f>
        <v>300000</v>
      </c>
      <c r="Q106" s="2194"/>
      <c r="R106" s="2194"/>
      <c r="S106" s="2609"/>
      <c r="T106" s="2610"/>
    </row>
    <row r="107" spans="1:22" ht="14.45" customHeight="1">
      <c r="A107" s="513"/>
      <c r="B107" s="522"/>
      <c r="C107" s="531"/>
      <c r="D107" s="522"/>
      <c r="E107" s="522"/>
      <c r="F107" s="2592" t="s">
        <v>83</v>
      </c>
      <c r="G107" s="2593"/>
      <c r="H107" s="2594"/>
      <c r="I107" s="2691"/>
      <c r="J107" s="2594"/>
      <c r="K107" s="2594"/>
      <c r="L107" s="2595"/>
      <c r="M107" s="2594"/>
      <c r="N107" s="2596"/>
      <c r="O107" s="2596"/>
      <c r="P107" s="2597">
        <f>SUM(P108:P108)</f>
        <v>600000</v>
      </c>
      <c r="Q107" s="653">
        <f>P107</f>
        <v>600000</v>
      </c>
      <c r="R107" s="1755">
        <v>600000</v>
      </c>
      <c r="S107" s="2598">
        <f>Q107-R107</f>
        <v>0</v>
      </c>
      <c r="T107" s="2649">
        <f>S107/R107</f>
        <v>0</v>
      </c>
    </row>
    <row r="108" spans="1:22" ht="14.45" customHeight="1">
      <c r="A108" s="513"/>
      <c r="B108" s="522"/>
      <c r="C108" s="531"/>
      <c r="D108" s="522"/>
      <c r="E108" s="3394"/>
      <c r="F108" s="2662" t="s">
        <v>84</v>
      </c>
      <c r="G108" s="2663">
        <v>50000</v>
      </c>
      <c r="H108" s="2664" t="s">
        <v>21</v>
      </c>
      <c r="I108" s="2685">
        <v>1</v>
      </c>
      <c r="J108" s="2684" t="s">
        <v>21</v>
      </c>
      <c r="K108" s="2687">
        <v>12</v>
      </c>
      <c r="L108" s="2666"/>
      <c r="M108" s="2665"/>
      <c r="N108" s="2667"/>
      <c r="O108" s="2667" t="s">
        <v>22</v>
      </c>
      <c r="P108" s="2668">
        <f>G108*I108*K108</f>
        <v>600000</v>
      </c>
      <c r="Q108" s="2669"/>
      <c r="R108" s="2669"/>
      <c r="S108" s="2670"/>
      <c r="T108" s="2671"/>
    </row>
    <row r="109" spans="1:22" ht="14.45" customHeight="1">
      <c r="A109" s="513"/>
      <c r="B109" s="522"/>
      <c r="C109" s="531"/>
      <c r="D109" s="522"/>
      <c r="E109" s="3637" t="s">
        <v>218</v>
      </c>
      <c r="F109" s="3638"/>
      <c r="G109" s="3638"/>
      <c r="H109" s="3638"/>
      <c r="I109" s="3638"/>
      <c r="J109" s="3638"/>
      <c r="K109" s="3638"/>
      <c r="L109" s="3638"/>
      <c r="M109" s="3638"/>
      <c r="N109" s="3638"/>
      <c r="O109" s="3638"/>
      <c r="P109" s="3639"/>
      <c r="Q109" s="540">
        <v>0</v>
      </c>
      <c r="R109" s="540">
        <v>880000</v>
      </c>
      <c r="S109" s="541">
        <f>Q109-R109</f>
        <v>-880000</v>
      </c>
      <c r="T109" s="542">
        <f>S109/R109</f>
        <v>-1</v>
      </c>
    </row>
    <row r="110" spans="1:22" ht="14.45" customHeight="1">
      <c r="A110" s="513"/>
      <c r="B110" s="522"/>
      <c r="C110" s="531"/>
      <c r="D110" s="522"/>
      <c r="E110" s="3637" t="s">
        <v>3031</v>
      </c>
      <c r="F110" s="3638"/>
      <c r="G110" s="3638"/>
      <c r="H110" s="3638"/>
      <c r="I110" s="3638"/>
      <c r="J110" s="3638"/>
      <c r="K110" s="3638"/>
      <c r="L110" s="3638"/>
      <c r="M110" s="3638"/>
      <c r="N110" s="3638"/>
      <c r="O110" s="3638"/>
      <c r="P110" s="3639"/>
      <c r="Q110" s="2680">
        <f>P111+P113</f>
        <v>6900000</v>
      </c>
      <c r="R110" s="2680">
        <f>R111+R113</f>
        <v>7320000</v>
      </c>
      <c r="S110" s="2681">
        <f>Q110-R110</f>
        <v>-420000</v>
      </c>
      <c r="T110" s="2682">
        <f>S110/R110</f>
        <v>-5.737704918032787E-2</v>
      </c>
    </row>
    <row r="111" spans="1:22" ht="14.45" customHeight="1">
      <c r="A111" s="513"/>
      <c r="B111" s="522"/>
      <c r="C111" s="531"/>
      <c r="D111" s="522"/>
      <c r="F111" s="2592" t="s">
        <v>86</v>
      </c>
      <c r="G111" s="2593"/>
      <c r="H111" s="2594"/>
      <c r="I111" s="2594"/>
      <c r="J111" s="2594"/>
      <c r="K111" s="2594"/>
      <c r="L111" s="2595"/>
      <c r="M111" s="2594"/>
      <c r="N111" s="2596"/>
      <c r="O111" s="2596"/>
      <c r="P111" s="2597">
        <f>SUM(P112:P112)</f>
        <v>600000</v>
      </c>
      <c r="Q111" s="653">
        <f>P111</f>
        <v>600000</v>
      </c>
      <c r="R111" s="1755">
        <v>600000</v>
      </c>
      <c r="S111" s="2598">
        <f>Q111-R111</f>
        <v>0</v>
      </c>
      <c r="T111" s="2649">
        <f>S111/R111</f>
        <v>0</v>
      </c>
    </row>
    <row r="112" spans="1:22" ht="14.45" customHeight="1">
      <c r="A112" s="513"/>
      <c r="B112" s="522"/>
      <c r="C112" s="531"/>
      <c r="D112" s="522"/>
      <c r="E112" s="3388"/>
      <c r="F112" s="2247" t="s">
        <v>87</v>
      </c>
      <c r="G112" s="2683">
        <v>10000</v>
      </c>
      <c r="H112" s="2684" t="s">
        <v>21</v>
      </c>
      <c r="I112" s="2697">
        <v>5</v>
      </c>
      <c r="J112" s="2684" t="s">
        <v>21</v>
      </c>
      <c r="K112" s="2687">
        <v>12</v>
      </c>
      <c r="L112" s="2688"/>
      <c r="M112" s="2687"/>
      <c r="N112" s="2689"/>
      <c r="O112" s="2689" t="s">
        <v>22</v>
      </c>
      <c r="P112" s="2690">
        <f>ROUNDUP(G112*I112*K112,-3)</f>
        <v>600000</v>
      </c>
      <c r="Q112" s="2194"/>
      <c r="R112" s="2194"/>
      <c r="S112" s="2609"/>
      <c r="T112" s="2610"/>
    </row>
    <row r="113" spans="1:24" ht="14.45" customHeight="1">
      <c r="A113" s="513"/>
      <c r="B113" s="522"/>
      <c r="C113" s="531"/>
      <c r="D113" s="522"/>
      <c r="F113" s="2592" t="s">
        <v>88</v>
      </c>
      <c r="G113" s="2593"/>
      <c r="H113" s="2594"/>
      <c r="I113" s="2594"/>
      <c r="J113" s="2594"/>
      <c r="K113" s="2594"/>
      <c r="L113" s="2595"/>
      <c r="M113" s="2594"/>
      <c r="N113" s="2596"/>
      <c r="O113" s="2596"/>
      <c r="P113" s="2597">
        <f>SUM(P114:P117)</f>
        <v>6300000</v>
      </c>
      <c r="Q113" s="653">
        <f>P113</f>
        <v>6300000</v>
      </c>
      <c r="R113" s="1755">
        <v>6720000</v>
      </c>
      <c r="S113" s="2598">
        <f>Q113-R113</f>
        <v>-420000</v>
      </c>
      <c r="T113" s="2649">
        <f>S113/R113</f>
        <v>-6.25E-2</v>
      </c>
    </row>
    <row r="114" spans="1:24" ht="14.45" customHeight="1">
      <c r="A114" s="513"/>
      <c r="B114" s="522"/>
      <c r="C114" s="531"/>
      <c r="D114" s="522"/>
      <c r="F114" s="2247" t="s">
        <v>89</v>
      </c>
      <c r="G114" s="2683">
        <v>25000</v>
      </c>
      <c r="H114" s="2684" t="s">
        <v>21</v>
      </c>
      <c r="I114" s="2698">
        <v>3</v>
      </c>
      <c r="J114" s="2684" t="s">
        <v>21</v>
      </c>
      <c r="K114" s="2699">
        <v>20</v>
      </c>
      <c r="L114" s="2700"/>
      <c r="M114" s="2684"/>
      <c r="N114" s="2689"/>
      <c r="O114" s="2689" t="s">
        <v>22</v>
      </c>
      <c r="P114" s="2701">
        <f>G114*I114*K114</f>
        <v>1500000</v>
      </c>
      <c r="Q114" s="2194"/>
      <c r="R114" s="2194"/>
      <c r="S114" s="2609"/>
      <c r="T114" s="2610"/>
    </row>
    <row r="115" spans="1:24" ht="14.45" customHeight="1">
      <c r="A115" s="513"/>
      <c r="B115" s="522"/>
      <c r="C115" s="531"/>
      <c r="D115" s="522"/>
      <c r="F115" s="2247" t="s">
        <v>90</v>
      </c>
      <c r="G115" s="2702">
        <v>30000</v>
      </c>
      <c r="H115" s="2684" t="s">
        <v>21</v>
      </c>
      <c r="I115" s="2698">
        <v>2</v>
      </c>
      <c r="J115" s="2684" t="s">
        <v>21</v>
      </c>
      <c r="K115" s="2699">
        <v>20</v>
      </c>
      <c r="L115" s="2700"/>
      <c r="M115" s="2684"/>
      <c r="N115" s="2689"/>
      <c r="O115" s="2689" t="s">
        <v>22</v>
      </c>
      <c r="P115" s="2701">
        <f>G115*I115*K115</f>
        <v>1200000</v>
      </c>
      <c r="Q115" s="2194"/>
      <c r="R115" s="2194"/>
      <c r="S115" s="2609"/>
      <c r="T115" s="2610"/>
    </row>
    <row r="116" spans="1:24" ht="14.45" customHeight="1">
      <c r="A116" s="513"/>
      <c r="B116" s="522"/>
      <c r="C116" s="531"/>
      <c r="D116" s="522"/>
      <c r="F116" s="2247" t="s">
        <v>91</v>
      </c>
      <c r="G116" s="2702">
        <v>20000</v>
      </c>
      <c r="H116" s="2684" t="s">
        <v>21</v>
      </c>
      <c r="I116" s="2698">
        <v>1</v>
      </c>
      <c r="J116" s="2684" t="s">
        <v>21</v>
      </c>
      <c r="K116" s="2699">
        <v>150</v>
      </c>
      <c r="L116" s="2700"/>
      <c r="M116" s="2684"/>
      <c r="N116" s="2689"/>
      <c r="O116" s="2689" t="s">
        <v>22</v>
      </c>
      <c r="P116" s="2701">
        <f>G116*I116*K116</f>
        <v>3000000</v>
      </c>
      <c r="Q116" s="2194"/>
      <c r="R116" s="2194"/>
      <c r="S116" s="2609"/>
      <c r="T116" s="2610"/>
      <c r="U116" s="543"/>
    </row>
    <row r="117" spans="1:24" ht="14.45" customHeight="1">
      <c r="A117" s="513"/>
      <c r="B117" s="522"/>
      <c r="C117" s="531"/>
      <c r="D117" s="522"/>
      <c r="E117" s="3390"/>
      <c r="F117" s="2255" t="s">
        <v>92</v>
      </c>
      <c r="G117" s="2703">
        <v>600000</v>
      </c>
      <c r="H117" s="2704" t="s">
        <v>21</v>
      </c>
      <c r="I117" s="2705">
        <v>1</v>
      </c>
      <c r="J117" s="2704"/>
      <c r="K117" s="2256"/>
      <c r="L117" s="2257"/>
      <c r="M117" s="2256"/>
      <c r="N117" s="2706"/>
      <c r="O117" s="2706" t="s">
        <v>22</v>
      </c>
      <c r="P117" s="2259">
        <f>G117*I117</f>
        <v>600000</v>
      </c>
      <c r="Q117" s="2707"/>
      <c r="R117" s="2669"/>
      <c r="S117" s="2670"/>
      <c r="T117" s="2671"/>
      <c r="U117" s="543"/>
    </row>
    <row r="118" spans="1:24" ht="14.45" customHeight="1">
      <c r="A118" s="2661"/>
      <c r="B118" s="551"/>
      <c r="C118" s="515"/>
      <c r="D118" s="551"/>
      <c r="E118" s="3637" t="s">
        <v>3005</v>
      </c>
      <c r="F118" s="3638"/>
      <c r="G118" s="3638"/>
      <c r="H118" s="3638"/>
      <c r="I118" s="3638"/>
      <c r="J118" s="3638"/>
      <c r="K118" s="3638"/>
      <c r="L118" s="3638"/>
      <c r="M118" s="3638"/>
      <c r="N118" s="3638"/>
      <c r="O118" s="3638"/>
      <c r="P118" s="3639"/>
      <c r="Q118" s="540">
        <f>P119</f>
        <v>37160000</v>
      </c>
      <c r="R118" s="540">
        <v>29800000</v>
      </c>
      <c r="S118" s="541">
        <f>Q118-R118</f>
        <v>7360000</v>
      </c>
      <c r="T118" s="542">
        <f>S118/R118</f>
        <v>0.24697986577181208</v>
      </c>
      <c r="U118" s="516"/>
    </row>
    <row r="119" spans="1:24" ht="14.45" customHeight="1">
      <c r="A119" s="513"/>
      <c r="B119" s="522"/>
      <c r="C119" s="531"/>
      <c r="D119" s="522"/>
      <c r="F119" s="2529" t="s">
        <v>93</v>
      </c>
      <c r="G119" s="2708"/>
      <c r="H119" s="2709"/>
      <c r="I119" s="2709"/>
      <c r="J119" s="2709"/>
      <c r="K119" s="2709"/>
      <c r="L119" s="2710"/>
      <c r="M119" s="2709"/>
      <c r="N119" s="2711"/>
      <c r="O119" s="2711"/>
      <c r="P119" s="2712">
        <f>SUM(P120:P125)</f>
        <v>37160000</v>
      </c>
      <c r="Q119" s="653">
        <f>P119</f>
        <v>37160000</v>
      </c>
      <c r="R119" s="1755">
        <v>29800000</v>
      </c>
      <c r="S119" s="2598">
        <f>Q119-R119</f>
        <v>7360000</v>
      </c>
      <c r="T119" s="2649">
        <f>S119/R119</f>
        <v>0.24697986577181208</v>
      </c>
    </row>
    <row r="120" spans="1:24" ht="14.45" customHeight="1">
      <c r="A120" s="513"/>
      <c r="B120" s="522"/>
      <c r="C120" s="531"/>
      <c r="D120" s="522"/>
      <c r="E120" s="3388"/>
      <c r="F120" s="2231" t="s">
        <v>2308</v>
      </c>
      <c r="G120" s="2479">
        <v>3500000</v>
      </c>
      <c r="H120" s="2190" t="s">
        <v>21</v>
      </c>
      <c r="I120" s="2713">
        <v>1</v>
      </c>
      <c r="J120" s="2190"/>
      <c r="K120" s="663"/>
      <c r="L120" s="2191"/>
      <c r="M120" s="663"/>
      <c r="N120" s="2192"/>
      <c r="O120" s="2192" t="s">
        <v>22</v>
      </c>
      <c r="P120" s="2193">
        <f>G120*I120</f>
        <v>3500000</v>
      </c>
      <c r="Q120" s="2331"/>
      <c r="R120" s="2714"/>
      <c r="S120" s="2715"/>
      <c r="T120" s="2716"/>
    </row>
    <row r="121" spans="1:24" ht="14.45" customHeight="1">
      <c r="A121" s="513"/>
      <c r="B121" s="522"/>
      <c r="C121" s="531"/>
      <c r="D121" s="522"/>
      <c r="E121" s="3388"/>
      <c r="F121" s="2242" t="s">
        <v>2309</v>
      </c>
      <c r="G121" s="2717">
        <v>6000000</v>
      </c>
      <c r="H121" s="2190" t="s">
        <v>21</v>
      </c>
      <c r="I121" s="2713">
        <v>1</v>
      </c>
      <c r="J121" s="2190"/>
      <c r="K121" s="663"/>
      <c r="L121" s="2191"/>
      <c r="M121" s="663"/>
      <c r="N121" s="2192"/>
      <c r="O121" s="2192" t="s">
        <v>22</v>
      </c>
      <c r="P121" s="2193">
        <f>G121*I121</f>
        <v>6000000</v>
      </c>
      <c r="Q121" s="2331"/>
      <c r="R121" s="2714"/>
      <c r="S121" s="2715"/>
      <c r="T121" s="2716"/>
    </row>
    <row r="122" spans="1:24" ht="14.45" customHeight="1">
      <c r="A122" s="513"/>
      <c r="B122" s="522"/>
      <c r="C122" s="531"/>
      <c r="D122" s="522"/>
      <c r="E122" s="3388"/>
      <c r="F122" s="2242" t="s">
        <v>2310</v>
      </c>
      <c r="G122" s="2718">
        <v>55000</v>
      </c>
      <c r="H122" s="2719" t="s">
        <v>21</v>
      </c>
      <c r="I122" s="700">
        <v>1</v>
      </c>
      <c r="J122" s="2719" t="s">
        <v>21</v>
      </c>
      <c r="K122" s="2239">
        <v>12</v>
      </c>
      <c r="L122" s="2240"/>
      <c r="M122" s="2239"/>
      <c r="N122" s="2720"/>
      <c r="O122" s="2720" t="s">
        <v>22</v>
      </c>
      <c r="P122" s="2241">
        <f>G122*I122*K122</f>
        <v>660000</v>
      </c>
      <c r="Q122" s="2331"/>
      <c r="R122" s="2714"/>
      <c r="S122" s="2715"/>
      <c r="T122" s="2716"/>
    </row>
    <row r="123" spans="1:24" ht="14.45" customHeight="1">
      <c r="A123" s="513"/>
      <c r="B123" s="522"/>
      <c r="C123" s="531"/>
      <c r="D123" s="522"/>
      <c r="E123" s="3388"/>
      <c r="F123" s="2242" t="s">
        <v>2311</v>
      </c>
      <c r="G123" s="2718">
        <v>1100000</v>
      </c>
      <c r="H123" s="2719" t="s">
        <v>21</v>
      </c>
      <c r="I123" s="700">
        <v>1</v>
      </c>
      <c r="J123" s="2719" t="s">
        <v>21</v>
      </c>
      <c r="K123" s="2239">
        <v>12</v>
      </c>
      <c r="L123" s="2240"/>
      <c r="M123" s="2239"/>
      <c r="N123" s="2720"/>
      <c r="O123" s="2720" t="s">
        <v>22</v>
      </c>
      <c r="P123" s="2241">
        <f>G123*I123*K123</f>
        <v>13200000</v>
      </c>
      <c r="Q123" s="2331"/>
      <c r="R123" s="2714"/>
      <c r="S123" s="2715"/>
      <c r="T123" s="2716"/>
    </row>
    <row r="124" spans="1:24" ht="14.45" customHeight="1">
      <c r="A124" s="513"/>
      <c r="B124" s="522"/>
      <c r="C124" s="531"/>
      <c r="D124" s="522"/>
      <c r="E124" s="3389"/>
      <c r="F124" s="2242" t="s">
        <v>2312</v>
      </c>
      <c r="G124" s="2718">
        <v>750000</v>
      </c>
      <c r="H124" s="2719" t="s">
        <v>21</v>
      </c>
      <c r="I124" s="700">
        <v>1</v>
      </c>
      <c r="J124" s="2719" t="s">
        <v>21</v>
      </c>
      <c r="K124" s="2239">
        <v>12</v>
      </c>
      <c r="L124" s="2240"/>
      <c r="M124" s="2239"/>
      <c r="N124" s="2720"/>
      <c r="O124" s="2720" t="s">
        <v>22</v>
      </c>
      <c r="P124" s="2241">
        <f>G124*I124*K124</f>
        <v>9000000</v>
      </c>
      <c r="Q124" s="2331"/>
      <c r="R124" s="2194"/>
      <c r="S124" s="2609"/>
      <c r="T124" s="2610"/>
    </row>
    <row r="125" spans="1:24" ht="14.45" customHeight="1">
      <c r="A125" s="513"/>
      <c r="B125" s="522"/>
      <c r="C125" s="531"/>
      <c r="D125" s="522"/>
      <c r="E125" s="3389"/>
      <c r="F125" s="2658" t="s">
        <v>2313</v>
      </c>
      <c r="G125" s="2702">
        <v>400000</v>
      </c>
      <c r="H125" s="2684" t="s">
        <v>21</v>
      </c>
      <c r="I125" s="2698">
        <v>1</v>
      </c>
      <c r="J125" s="2684" t="s">
        <v>21</v>
      </c>
      <c r="K125" s="2687">
        <v>12</v>
      </c>
      <c r="L125" s="2688"/>
      <c r="M125" s="2687"/>
      <c r="N125" s="2689"/>
      <c r="O125" s="2689" t="s">
        <v>22</v>
      </c>
      <c r="P125" s="2690">
        <f>G125*I125*K125</f>
        <v>4800000</v>
      </c>
      <c r="Q125" s="2194"/>
      <c r="R125" s="2194"/>
      <c r="S125" s="2609"/>
      <c r="T125" s="2610"/>
    </row>
    <row r="126" spans="1:24" ht="14.45" customHeight="1">
      <c r="A126" s="513"/>
      <c r="B126" s="522"/>
      <c r="C126" s="531"/>
      <c r="D126" s="522"/>
      <c r="E126" s="3637" t="s">
        <v>3030</v>
      </c>
      <c r="F126" s="3638"/>
      <c r="G126" s="3638"/>
      <c r="H126" s="3638"/>
      <c r="I126" s="3638"/>
      <c r="J126" s="3638"/>
      <c r="K126" s="3638"/>
      <c r="L126" s="3638"/>
      <c r="M126" s="3638"/>
      <c r="N126" s="3638"/>
      <c r="O126" s="3638"/>
      <c r="P126" s="3639"/>
      <c r="Q126" s="540">
        <f>P127</f>
        <v>500000</v>
      </c>
      <c r="R126" s="540">
        <v>16500000</v>
      </c>
      <c r="S126" s="541">
        <f>Q126-R126</f>
        <v>-16000000</v>
      </c>
      <c r="T126" s="542">
        <f>S126/R126</f>
        <v>-0.96969696969696972</v>
      </c>
      <c r="X126" s="2581"/>
    </row>
    <row r="127" spans="1:24" ht="14.45" customHeight="1">
      <c r="A127" s="513"/>
      <c r="B127" s="522"/>
      <c r="C127" s="531"/>
      <c r="D127" s="522"/>
      <c r="F127" s="2592" t="s">
        <v>94</v>
      </c>
      <c r="G127" s="2593"/>
      <c r="H127" s="2594"/>
      <c r="I127" s="2594"/>
      <c r="J127" s="2594"/>
      <c r="K127" s="2594"/>
      <c r="L127" s="2595"/>
      <c r="M127" s="2594"/>
      <c r="N127" s="2596"/>
      <c r="O127" s="2596"/>
      <c r="P127" s="2597">
        <f>SUM(P128:P128)</f>
        <v>500000</v>
      </c>
      <c r="Q127" s="653">
        <f>P127</f>
        <v>500000</v>
      </c>
      <c r="R127" s="1755">
        <v>16500000</v>
      </c>
      <c r="S127" s="2598">
        <f>Q127-R127</f>
        <v>-16000000</v>
      </c>
      <c r="T127" s="2649">
        <f>S127/R127</f>
        <v>-0.96969696969696972</v>
      </c>
    </row>
    <row r="128" spans="1:24" ht="14.45" customHeight="1">
      <c r="A128" s="513"/>
      <c r="B128" s="522"/>
      <c r="C128" s="531"/>
      <c r="D128" s="522"/>
      <c r="E128" s="3388"/>
      <c r="F128" s="2247" t="s">
        <v>1009</v>
      </c>
      <c r="G128" s="2683">
        <v>125000</v>
      </c>
      <c r="H128" s="2684" t="s">
        <v>21</v>
      </c>
      <c r="I128" s="2721">
        <v>4</v>
      </c>
      <c r="J128" s="2684"/>
      <c r="K128" s="2687"/>
      <c r="L128" s="2688"/>
      <c r="M128" s="2687"/>
      <c r="N128" s="2689"/>
      <c r="O128" s="2689" t="s">
        <v>22</v>
      </c>
      <c r="P128" s="2690">
        <f>ROUNDUP(G128*I128,-3)</f>
        <v>500000</v>
      </c>
      <c r="Q128" s="2194"/>
      <c r="R128" s="2194"/>
      <c r="S128" s="2609"/>
      <c r="T128" s="2610"/>
    </row>
    <row r="129" spans="1:20" ht="14.45" customHeight="1">
      <c r="A129" s="513"/>
      <c r="B129" s="522"/>
      <c r="C129" s="531"/>
      <c r="D129" s="522"/>
      <c r="E129" s="3637" t="s">
        <v>196</v>
      </c>
      <c r="F129" s="3638"/>
      <c r="G129" s="3638"/>
      <c r="H129" s="3638"/>
      <c r="I129" s="3638"/>
      <c r="J129" s="3638"/>
      <c r="K129" s="3638"/>
      <c r="L129" s="3638"/>
      <c r="M129" s="3638"/>
      <c r="N129" s="3638"/>
      <c r="O129" s="3638"/>
      <c r="P129" s="3639"/>
      <c r="Q129" s="540">
        <f>P130</f>
        <v>1800000</v>
      </c>
      <c r="R129" s="540">
        <v>1800000</v>
      </c>
      <c r="S129" s="541">
        <f>Q129-R129</f>
        <v>0</v>
      </c>
      <c r="T129" s="542">
        <f>S129/R129</f>
        <v>0</v>
      </c>
    </row>
    <row r="130" spans="1:20" ht="14.45" customHeight="1">
      <c r="A130" s="513"/>
      <c r="B130" s="522"/>
      <c r="C130" s="531"/>
      <c r="D130" s="522"/>
      <c r="F130" s="2592" t="s">
        <v>95</v>
      </c>
      <c r="G130" s="2593"/>
      <c r="H130" s="2594"/>
      <c r="I130" s="2594"/>
      <c r="J130" s="2594"/>
      <c r="K130" s="2594"/>
      <c r="L130" s="2595"/>
      <c r="M130" s="2594"/>
      <c r="N130" s="2596"/>
      <c r="O130" s="2596"/>
      <c r="P130" s="2597">
        <f>SUM(P131:P131)</f>
        <v>1800000</v>
      </c>
      <c r="Q130" s="653">
        <f>P130</f>
        <v>1800000</v>
      </c>
      <c r="R130" s="1755">
        <v>1800000</v>
      </c>
      <c r="S130" s="2598">
        <f>Q130-R130</f>
        <v>0</v>
      </c>
      <c r="T130" s="2649">
        <f>S130/R130</f>
        <v>0</v>
      </c>
    </row>
    <row r="131" spans="1:20" ht="14.45" customHeight="1">
      <c r="A131" s="513"/>
      <c r="B131" s="522"/>
      <c r="C131" s="531"/>
      <c r="D131" s="522"/>
      <c r="E131" s="3390"/>
      <c r="F131" s="2662" t="s">
        <v>96</v>
      </c>
      <c r="G131" s="2692">
        <v>150000</v>
      </c>
      <c r="H131" s="2674" t="s">
        <v>21</v>
      </c>
      <c r="I131" s="2722">
        <v>1</v>
      </c>
      <c r="J131" s="2674" t="s">
        <v>21</v>
      </c>
      <c r="K131" s="2676">
        <v>12</v>
      </c>
      <c r="L131" s="2677"/>
      <c r="M131" s="2676"/>
      <c r="N131" s="2678"/>
      <c r="O131" s="2678" t="s">
        <v>22</v>
      </c>
      <c r="P131" s="2679">
        <f>G131*I131*K131</f>
        <v>1800000</v>
      </c>
      <c r="Q131" s="2669"/>
      <c r="R131" s="2669"/>
      <c r="S131" s="2670"/>
      <c r="T131" s="2671"/>
    </row>
    <row r="132" spans="1:20" ht="14.45" customHeight="1">
      <c r="A132" s="513"/>
      <c r="B132" s="522"/>
      <c r="C132" s="531"/>
      <c r="D132" s="522"/>
      <c r="E132" s="3637" t="s">
        <v>197</v>
      </c>
      <c r="F132" s="3638"/>
      <c r="G132" s="3638"/>
      <c r="H132" s="3638"/>
      <c r="I132" s="3638"/>
      <c r="J132" s="3638"/>
      <c r="K132" s="3638"/>
      <c r="L132" s="3638"/>
      <c r="M132" s="3638"/>
      <c r="N132" s="3638"/>
      <c r="O132" s="3638"/>
      <c r="P132" s="3639"/>
      <c r="Q132" s="540">
        <f>P133</f>
        <v>400000</v>
      </c>
      <c r="R132" s="540">
        <v>450000</v>
      </c>
      <c r="S132" s="541">
        <f>Q132-R132</f>
        <v>-50000</v>
      </c>
      <c r="T132" s="542">
        <f>S132/R132</f>
        <v>-0.1111111111111111</v>
      </c>
    </row>
    <row r="133" spans="1:20" ht="14.45" customHeight="1">
      <c r="A133" s="513"/>
      <c r="B133" s="522"/>
      <c r="C133" s="531"/>
      <c r="D133" s="522"/>
      <c r="E133" s="1738"/>
      <c r="F133" s="2723" t="s">
        <v>97</v>
      </c>
      <c r="G133" s="2724"/>
      <c r="H133" s="2725"/>
      <c r="I133" s="2725"/>
      <c r="J133" s="2725"/>
      <c r="K133" s="2725"/>
      <c r="L133" s="2726"/>
      <c r="M133" s="2725"/>
      <c r="N133" s="2727"/>
      <c r="O133" s="2727"/>
      <c r="P133" s="2728">
        <f>SUM(P134:P135)</f>
        <v>400000</v>
      </c>
      <c r="Q133" s="653">
        <f>P133</f>
        <v>400000</v>
      </c>
      <c r="R133" s="2729">
        <v>450000</v>
      </c>
      <c r="S133" s="2598">
        <f>Q133-R133</f>
        <v>-50000</v>
      </c>
      <c r="T133" s="2649">
        <f>S133/R133</f>
        <v>-0.1111111111111111</v>
      </c>
    </row>
    <row r="134" spans="1:20" ht="14.45" customHeight="1">
      <c r="A134" s="513"/>
      <c r="B134" s="522"/>
      <c r="C134" s="531"/>
      <c r="D134" s="522"/>
      <c r="E134" s="3388"/>
      <c r="F134" s="2247" t="s">
        <v>98</v>
      </c>
      <c r="G134" s="2683">
        <v>400000</v>
      </c>
      <c r="H134" s="2684" t="s">
        <v>21</v>
      </c>
      <c r="I134" s="2698">
        <v>1</v>
      </c>
      <c r="J134" s="2684"/>
      <c r="K134" s="2687"/>
      <c r="L134" s="2688"/>
      <c r="M134" s="2687"/>
      <c r="N134" s="2689"/>
      <c r="O134" s="2689" t="s">
        <v>22</v>
      </c>
      <c r="P134" s="2690">
        <f>G134*I134</f>
        <v>400000</v>
      </c>
      <c r="Q134" s="2194"/>
      <c r="R134" s="2194"/>
      <c r="S134" s="2609"/>
      <c r="T134" s="2610"/>
    </row>
    <row r="135" spans="1:20" ht="14.45" customHeight="1">
      <c r="A135" s="513"/>
      <c r="B135" s="522"/>
      <c r="C135" s="531"/>
      <c r="D135" s="522"/>
      <c r="E135" s="3637" t="s">
        <v>3006</v>
      </c>
      <c r="F135" s="3638"/>
      <c r="G135" s="3638"/>
      <c r="H135" s="3638"/>
      <c r="I135" s="3638"/>
      <c r="J135" s="3638"/>
      <c r="K135" s="3638"/>
      <c r="L135" s="3638"/>
      <c r="M135" s="3638"/>
      <c r="N135" s="3638"/>
      <c r="O135" s="3638"/>
      <c r="P135" s="3639"/>
      <c r="Q135" s="540">
        <f>P136+P140+P143+P147</f>
        <v>24470000</v>
      </c>
      <c r="R135" s="540">
        <v>27070000</v>
      </c>
      <c r="S135" s="541">
        <f>Q135-R135</f>
        <v>-2600000</v>
      </c>
      <c r="T135" s="542">
        <f>S135/R135</f>
        <v>-9.6047284817140741E-2</v>
      </c>
    </row>
    <row r="136" spans="1:20" ht="14.45" customHeight="1">
      <c r="A136" s="513"/>
      <c r="B136" s="522"/>
      <c r="C136" s="531"/>
      <c r="D136" s="522"/>
      <c r="F136" s="2592" t="s">
        <v>99</v>
      </c>
      <c r="G136" s="2593"/>
      <c r="H136" s="2594"/>
      <c r="I136" s="2594"/>
      <c r="J136" s="2594"/>
      <c r="K136" s="2594"/>
      <c r="L136" s="2595"/>
      <c r="M136" s="2594"/>
      <c r="N136" s="2596"/>
      <c r="O136" s="2596"/>
      <c r="P136" s="2597">
        <f>SUM(P137:P139)</f>
        <v>16000000</v>
      </c>
      <c r="Q136" s="653">
        <f>P136</f>
        <v>16000000</v>
      </c>
      <c r="R136" s="1755">
        <v>18600000</v>
      </c>
      <c r="S136" s="2598">
        <f>Q136-R136</f>
        <v>-2600000</v>
      </c>
      <c r="T136" s="2649">
        <f>S136/R136</f>
        <v>-0.13978494623655913</v>
      </c>
    </row>
    <row r="137" spans="1:20" ht="14.45" customHeight="1">
      <c r="A137" s="513"/>
      <c r="B137" s="522"/>
      <c r="C137" s="531"/>
      <c r="D137" s="522"/>
      <c r="F137" s="2247" t="s">
        <v>1010</v>
      </c>
      <c r="G137" s="2248">
        <v>10000000</v>
      </c>
      <c r="H137" s="2249" t="s">
        <v>21</v>
      </c>
      <c r="I137" s="2657">
        <v>1</v>
      </c>
      <c r="J137" s="2249"/>
      <c r="K137" s="2249"/>
      <c r="L137" s="2730"/>
      <c r="M137" s="2249"/>
      <c r="N137" s="2253"/>
      <c r="O137" s="2253" t="s">
        <v>22</v>
      </c>
      <c r="P137" s="2731">
        <f>G137*I137</f>
        <v>10000000</v>
      </c>
      <c r="Q137" s="2194"/>
      <c r="R137" s="2194"/>
      <c r="S137" s="2609"/>
      <c r="T137" s="2610"/>
    </row>
    <row r="138" spans="1:20" ht="14.45" customHeight="1">
      <c r="A138" s="513"/>
      <c r="B138" s="522"/>
      <c r="C138" s="531"/>
      <c r="D138" s="522"/>
      <c r="F138" s="2247" t="s">
        <v>1011</v>
      </c>
      <c r="G138" s="2248">
        <v>200000</v>
      </c>
      <c r="H138" s="2249" t="s">
        <v>21</v>
      </c>
      <c r="I138" s="2657">
        <v>1</v>
      </c>
      <c r="J138" s="2249" t="s">
        <v>21</v>
      </c>
      <c r="K138" s="2251">
        <v>12</v>
      </c>
      <c r="L138" s="2730"/>
      <c r="M138" s="2249"/>
      <c r="N138" s="2253"/>
      <c r="O138" s="2253" t="s">
        <v>22</v>
      </c>
      <c r="P138" s="2731">
        <f>G138*I138*K138</f>
        <v>2400000</v>
      </c>
      <c r="Q138" s="2194"/>
      <c r="R138" s="2194"/>
      <c r="S138" s="2609"/>
      <c r="T138" s="2610"/>
    </row>
    <row r="139" spans="1:20" ht="14.45" customHeight="1">
      <c r="A139" s="513"/>
      <c r="B139" s="522"/>
      <c r="C139" s="531"/>
      <c r="D139" s="522"/>
      <c r="F139" s="2247" t="s">
        <v>1012</v>
      </c>
      <c r="G139" s="2248">
        <v>300000</v>
      </c>
      <c r="H139" s="2249" t="s">
        <v>21</v>
      </c>
      <c r="I139" s="2657">
        <v>1</v>
      </c>
      <c r="J139" s="2249" t="s">
        <v>21</v>
      </c>
      <c r="K139" s="2251">
        <v>12</v>
      </c>
      <c r="L139" s="2730"/>
      <c r="M139" s="2249"/>
      <c r="N139" s="2253"/>
      <c r="O139" s="2253" t="s">
        <v>22</v>
      </c>
      <c r="P139" s="2731">
        <f>G139*I139*K139</f>
        <v>3600000</v>
      </c>
      <c r="Q139" s="2194"/>
      <c r="R139" s="2194"/>
      <c r="S139" s="2609"/>
      <c r="T139" s="2610"/>
    </row>
    <row r="140" spans="1:20" ht="14.45" customHeight="1">
      <c r="A140" s="513"/>
      <c r="B140" s="522"/>
      <c r="C140" s="531"/>
      <c r="D140" s="522"/>
      <c r="F140" s="2592" t="s">
        <v>100</v>
      </c>
      <c r="G140" s="2593"/>
      <c r="H140" s="2594"/>
      <c r="I140" s="2594"/>
      <c r="J140" s="2594"/>
      <c r="K140" s="2594"/>
      <c r="L140" s="2595"/>
      <c r="M140" s="2594"/>
      <c r="N140" s="2596"/>
      <c r="O140" s="2596"/>
      <c r="P140" s="2597">
        <f>SUM(P141:P142)</f>
        <v>1620000</v>
      </c>
      <c r="Q140" s="653">
        <f>P140</f>
        <v>1620000</v>
      </c>
      <c r="R140" s="1755">
        <v>1620000</v>
      </c>
      <c r="S140" s="2598">
        <f>Q140-R140</f>
        <v>0</v>
      </c>
      <c r="T140" s="2649">
        <f>S140/R140</f>
        <v>0</v>
      </c>
    </row>
    <row r="141" spans="1:20" ht="14.45" customHeight="1">
      <c r="A141" s="513"/>
      <c r="B141" s="522"/>
      <c r="C141" s="531"/>
      <c r="D141" s="522"/>
      <c r="F141" s="2247" t="s">
        <v>101</v>
      </c>
      <c r="G141" s="2702">
        <v>110000</v>
      </c>
      <c r="H141" s="2684" t="s">
        <v>21</v>
      </c>
      <c r="I141" s="2698">
        <v>1</v>
      </c>
      <c r="J141" s="2684" t="s">
        <v>21</v>
      </c>
      <c r="K141" s="2687">
        <v>12</v>
      </c>
      <c r="L141" s="2700"/>
      <c r="M141" s="2684"/>
      <c r="N141" s="2689"/>
      <c r="O141" s="2689" t="s">
        <v>22</v>
      </c>
      <c r="P141" s="2701">
        <f>G141*I141*K141</f>
        <v>1320000</v>
      </c>
      <c r="Q141" s="2194"/>
      <c r="R141" s="2194"/>
      <c r="S141" s="2609"/>
      <c r="T141" s="2610"/>
    </row>
    <row r="142" spans="1:20" ht="14.45" customHeight="1">
      <c r="A142" s="513"/>
      <c r="B142" s="522"/>
      <c r="C142" s="531"/>
      <c r="D142" s="522"/>
      <c r="F142" s="2247" t="s">
        <v>102</v>
      </c>
      <c r="G142" s="2702">
        <v>300000</v>
      </c>
      <c r="H142" s="2684" t="s">
        <v>21</v>
      </c>
      <c r="I142" s="2732">
        <v>1</v>
      </c>
      <c r="J142" s="2684"/>
      <c r="K142" s="2684"/>
      <c r="L142" s="2700"/>
      <c r="M142" s="2684"/>
      <c r="N142" s="2689"/>
      <c r="O142" s="2689" t="s">
        <v>22</v>
      </c>
      <c r="P142" s="2701">
        <f>G142*I142</f>
        <v>300000</v>
      </c>
      <c r="Q142" s="2194"/>
      <c r="R142" s="2194"/>
      <c r="S142" s="2609"/>
      <c r="T142" s="2610"/>
    </row>
    <row r="143" spans="1:20" ht="14.45" customHeight="1">
      <c r="A143" s="513"/>
      <c r="B143" s="522"/>
      <c r="C143" s="531"/>
      <c r="D143" s="522"/>
      <c r="F143" s="2592" t="s">
        <v>1013</v>
      </c>
      <c r="G143" s="2593"/>
      <c r="H143" s="2594"/>
      <c r="I143" s="2594"/>
      <c r="J143" s="2594"/>
      <c r="K143" s="2594"/>
      <c r="L143" s="2595"/>
      <c r="M143" s="2594"/>
      <c r="N143" s="2596"/>
      <c r="O143" s="2596"/>
      <c r="P143" s="2597">
        <f>SUM(P144:P146)</f>
        <v>1850000</v>
      </c>
      <c r="Q143" s="653">
        <f>P143</f>
        <v>1850000</v>
      </c>
      <c r="R143" s="1755">
        <v>1850000</v>
      </c>
      <c r="S143" s="2598">
        <f>Q143-R143</f>
        <v>0</v>
      </c>
      <c r="T143" s="2649">
        <f>S143/R143</f>
        <v>0</v>
      </c>
    </row>
    <row r="144" spans="1:20" ht="14.45" customHeight="1">
      <c r="A144" s="513"/>
      <c r="B144" s="522"/>
      <c r="C144" s="531"/>
      <c r="D144" s="522"/>
      <c r="F144" s="2247" t="s">
        <v>1014</v>
      </c>
      <c r="G144" s="2702">
        <v>100000</v>
      </c>
      <c r="H144" s="2684" t="s">
        <v>21</v>
      </c>
      <c r="I144" s="2733">
        <v>4</v>
      </c>
      <c r="J144" s="2684"/>
      <c r="K144" s="2684"/>
      <c r="L144" s="2700"/>
      <c r="M144" s="2684"/>
      <c r="N144" s="2689"/>
      <c r="O144" s="2689" t="s">
        <v>22</v>
      </c>
      <c r="P144" s="2701">
        <f>G144*I144</f>
        <v>400000</v>
      </c>
      <c r="Q144" s="2194"/>
      <c r="R144" s="2194"/>
      <c r="S144" s="2609"/>
      <c r="T144" s="2610"/>
    </row>
    <row r="145" spans="1:24" ht="14.45" customHeight="1">
      <c r="A145" s="513"/>
      <c r="B145" s="522"/>
      <c r="C145" s="531"/>
      <c r="D145" s="522"/>
      <c r="F145" s="2247" t="s">
        <v>103</v>
      </c>
      <c r="G145" s="2702">
        <v>20000</v>
      </c>
      <c r="H145" s="2684" t="s">
        <v>21</v>
      </c>
      <c r="I145" s="2698">
        <v>6</v>
      </c>
      <c r="J145" s="2684" t="s">
        <v>21</v>
      </c>
      <c r="K145" s="2687">
        <v>12</v>
      </c>
      <c r="L145" s="2700"/>
      <c r="M145" s="2684"/>
      <c r="N145" s="2689"/>
      <c r="O145" s="2689" t="s">
        <v>22</v>
      </c>
      <c r="P145" s="2701">
        <f>G145*I145*K145</f>
        <v>1440000</v>
      </c>
      <c r="Q145" s="2194"/>
      <c r="R145" s="2194"/>
      <c r="S145" s="2609"/>
      <c r="T145" s="2610"/>
    </row>
    <row r="146" spans="1:24" ht="14.45" customHeight="1">
      <c r="A146" s="513"/>
      <c r="B146" s="522"/>
      <c r="C146" s="531"/>
      <c r="D146" s="522"/>
      <c r="F146" s="2247" t="s">
        <v>1015</v>
      </c>
      <c r="G146" s="2702">
        <v>5000</v>
      </c>
      <c r="H146" s="2684" t="s">
        <v>21</v>
      </c>
      <c r="I146" s="2698">
        <v>2</v>
      </c>
      <c r="J146" s="2684"/>
      <c r="K146" s="2684"/>
      <c r="L146" s="2700"/>
      <c r="M146" s="2684"/>
      <c r="N146" s="2689"/>
      <c r="O146" s="2689" t="s">
        <v>22</v>
      </c>
      <c r="P146" s="2701">
        <f>G146*I146</f>
        <v>10000</v>
      </c>
      <c r="Q146" s="2194"/>
      <c r="R146" s="2194"/>
      <c r="S146" s="2609"/>
      <c r="T146" s="2610"/>
    </row>
    <row r="147" spans="1:24" ht="14.45" customHeight="1">
      <c r="A147" s="513"/>
      <c r="B147" s="522"/>
      <c r="C147" s="531"/>
      <c r="D147" s="522"/>
      <c r="F147" s="2592" t="s">
        <v>1016</v>
      </c>
      <c r="G147" s="2593"/>
      <c r="H147" s="2594"/>
      <c r="I147" s="2594"/>
      <c r="J147" s="2594"/>
      <c r="K147" s="2594"/>
      <c r="L147" s="2595"/>
      <c r="M147" s="2594"/>
      <c r="N147" s="2596"/>
      <c r="O147" s="2596"/>
      <c r="P147" s="2597">
        <f>SUM(P148:P148)</f>
        <v>5000000</v>
      </c>
      <c r="Q147" s="653">
        <f>P147</f>
        <v>5000000</v>
      </c>
      <c r="R147" s="1755">
        <v>5000000</v>
      </c>
      <c r="S147" s="2598">
        <f>Q147-R147</f>
        <v>0</v>
      </c>
      <c r="T147" s="2649">
        <f>S147/R147</f>
        <v>0</v>
      </c>
    </row>
    <row r="148" spans="1:24" ht="14.45" customHeight="1">
      <c r="A148" s="513"/>
      <c r="B148" s="522"/>
      <c r="C148" s="531"/>
      <c r="D148" s="522"/>
      <c r="F148" s="2247" t="s">
        <v>1017</v>
      </c>
      <c r="G148" s="2702">
        <v>5000000</v>
      </c>
      <c r="H148" s="2684" t="s">
        <v>21</v>
      </c>
      <c r="I148" s="2732">
        <v>1</v>
      </c>
      <c r="J148" s="2684"/>
      <c r="K148" s="2687"/>
      <c r="L148" s="2700"/>
      <c r="M148" s="2684"/>
      <c r="N148" s="2689"/>
      <c r="O148" s="2689" t="s">
        <v>22</v>
      </c>
      <c r="P148" s="2701">
        <f>G148*I148</f>
        <v>5000000</v>
      </c>
      <c r="Q148" s="2194"/>
      <c r="R148" s="2194"/>
      <c r="S148" s="2609"/>
      <c r="T148" s="2610"/>
    </row>
    <row r="149" spans="1:24" ht="14.45" customHeight="1">
      <c r="A149" s="513"/>
      <c r="B149" s="522"/>
      <c r="C149" s="531"/>
      <c r="D149" s="522"/>
      <c r="E149" s="3637" t="s">
        <v>221</v>
      </c>
      <c r="F149" s="3638"/>
      <c r="G149" s="3638"/>
      <c r="H149" s="3638"/>
      <c r="I149" s="3638"/>
      <c r="J149" s="3638"/>
      <c r="K149" s="3638"/>
      <c r="L149" s="3638"/>
      <c r="M149" s="3638"/>
      <c r="N149" s="3638"/>
      <c r="O149" s="3638"/>
      <c r="P149" s="3639"/>
      <c r="Q149" s="540">
        <f>P150+P152</f>
        <v>6200000</v>
      </c>
      <c r="R149" s="540">
        <v>21600000</v>
      </c>
      <c r="S149" s="541">
        <f>Q149-R149</f>
        <v>-15400000</v>
      </c>
      <c r="T149" s="542">
        <f>S149/R149</f>
        <v>-0.71296296296296291</v>
      </c>
    </row>
    <row r="150" spans="1:24" ht="14.45" customHeight="1">
      <c r="A150" s="513"/>
      <c r="B150" s="522"/>
      <c r="C150" s="531"/>
      <c r="D150" s="522"/>
      <c r="F150" s="2592" t="s">
        <v>104</v>
      </c>
      <c r="G150" s="2593"/>
      <c r="H150" s="2594"/>
      <c r="I150" s="2594"/>
      <c r="J150" s="2594"/>
      <c r="K150" s="2594"/>
      <c r="L150" s="2595"/>
      <c r="M150" s="2725"/>
      <c r="N150" s="2727"/>
      <c r="O150" s="2727"/>
      <c r="P150" s="2728">
        <f>SUM(P151:P151)</f>
        <v>5000000</v>
      </c>
      <c r="Q150" s="653">
        <f>P150</f>
        <v>5000000</v>
      </c>
      <c r="R150" s="2729">
        <v>18000000</v>
      </c>
      <c r="S150" s="2598">
        <f>Q150-R150</f>
        <v>-13000000</v>
      </c>
      <c r="T150" s="2649">
        <f>S150/R150</f>
        <v>-0.72222222222222221</v>
      </c>
    </row>
    <row r="151" spans="1:24" ht="14.45" customHeight="1">
      <c r="A151" s="513"/>
      <c r="B151" s="522"/>
      <c r="C151" s="531"/>
      <c r="D151" s="522"/>
      <c r="F151" s="2247" t="s">
        <v>2341</v>
      </c>
      <c r="G151" s="2683">
        <v>416666</v>
      </c>
      <c r="H151" s="2684" t="s">
        <v>21</v>
      </c>
      <c r="I151" s="2687">
        <v>12</v>
      </c>
      <c r="J151" s="2684"/>
      <c r="K151" s="2687"/>
      <c r="L151" s="2700"/>
      <c r="M151" s="2684"/>
      <c r="N151" s="2689"/>
      <c r="O151" s="2689" t="s">
        <v>22</v>
      </c>
      <c r="P151" s="2701">
        <f>ROUNDUP(G151*I151,-3)</f>
        <v>5000000</v>
      </c>
      <c r="Q151" s="2194"/>
      <c r="R151" s="2194"/>
      <c r="S151" s="2609"/>
      <c r="T151" s="2610"/>
      <c r="X151" s="2582"/>
    </row>
    <row r="152" spans="1:24" ht="14.45" customHeight="1">
      <c r="A152" s="513"/>
      <c r="B152" s="522"/>
      <c r="C152" s="531"/>
      <c r="D152" s="522"/>
      <c r="F152" s="2592" t="s">
        <v>105</v>
      </c>
      <c r="G152" s="2593"/>
      <c r="H152" s="2594"/>
      <c r="I152" s="2594"/>
      <c r="J152" s="2594"/>
      <c r="K152" s="2594"/>
      <c r="L152" s="2595"/>
      <c r="M152" s="2594"/>
      <c r="N152" s="2596"/>
      <c r="O152" s="2596"/>
      <c r="P152" s="2597">
        <f>SUM(P153:P153)</f>
        <v>1200000</v>
      </c>
      <c r="Q152" s="653">
        <f>P152</f>
        <v>1200000</v>
      </c>
      <c r="R152" s="1755">
        <v>3600000</v>
      </c>
      <c r="S152" s="2598">
        <f>Q152-R152</f>
        <v>-2400000</v>
      </c>
      <c r="T152" s="2649">
        <f>S152/R152</f>
        <v>-0.66666666666666663</v>
      </c>
    </row>
    <row r="153" spans="1:24" ht="14.45" customHeight="1">
      <c r="A153" s="513"/>
      <c r="B153" s="522"/>
      <c r="C153" s="531"/>
      <c r="D153" s="522"/>
      <c r="E153" s="3390"/>
      <c r="F153" s="2662" t="s">
        <v>2342</v>
      </c>
      <c r="G153" s="2663">
        <v>100000</v>
      </c>
      <c r="H153" s="2664" t="s">
        <v>21</v>
      </c>
      <c r="I153" s="2665">
        <v>12</v>
      </c>
      <c r="J153" s="2664"/>
      <c r="K153" s="2665"/>
      <c r="L153" s="2666"/>
      <c r="M153" s="2665"/>
      <c r="N153" s="2667"/>
      <c r="O153" s="2667" t="s">
        <v>22</v>
      </c>
      <c r="P153" s="2668">
        <f>ROUNDUP(G153*I153,-3)</f>
        <v>1200000</v>
      </c>
      <c r="Q153" s="2734"/>
      <c r="R153" s="2734"/>
      <c r="S153" s="2735"/>
      <c r="T153" s="2671"/>
    </row>
    <row r="154" spans="1:24" ht="14.45" customHeight="1">
      <c r="A154" s="513"/>
      <c r="B154" s="522"/>
      <c r="C154" s="531"/>
      <c r="D154" s="522"/>
      <c r="E154" s="3637" t="s">
        <v>222</v>
      </c>
      <c r="F154" s="3638"/>
      <c r="G154" s="3638"/>
      <c r="H154" s="3638"/>
      <c r="I154" s="3638"/>
      <c r="J154" s="3638"/>
      <c r="K154" s="3638"/>
      <c r="L154" s="3638"/>
      <c r="M154" s="3638"/>
      <c r="N154" s="3638"/>
      <c r="O154" s="3638"/>
      <c r="P154" s="3639"/>
      <c r="Q154" s="2680">
        <f>P155+P157</f>
        <v>2680000</v>
      </c>
      <c r="R154" s="2680">
        <v>6880000</v>
      </c>
      <c r="S154" s="2681">
        <f>Q154-R154</f>
        <v>-4200000</v>
      </c>
      <c r="T154" s="2682">
        <f>S154/R154</f>
        <v>-0.61046511627906974</v>
      </c>
    </row>
    <row r="155" spans="1:24" ht="14.45" customHeight="1">
      <c r="A155" s="513"/>
      <c r="B155" s="522"/>
      <c r="C155" s="531"/>
      <c r="D155" s="522"/>
      <c r="F155" s="2592" t="s">
        <v>106</v>
      </c>
      <c r="G155" s="2593"/>
      <c r="H155" s="2594"/>
      <c r="I155" s="2594"/>
      <c r="J155" s="2594"/>
      <c r="K155" s="2594"/>
      <c r="L155" s="2595"/>
      <c r="M155" s="2594"/>
      <c r="N155" s="2596"/>
      <c r="O155" s="2596"/>
      <c r="P155" s="2597">
        <f>SUM(P156:P156)</f>
        <v>1800000</v>
      </c>
      <c r="Q155" s="653">
        <f>P155</f>
        <v>1800000</v>
      </c>
      <c r="R155" s="1755">
        <v>2400000</v>
      </c>
      <c r="S155" s="2598">
        <f>Q155-R155</f>
        <v>-600000</v>
      </c>
      <c r="T155" s="2649">
        <f>S155/R155</f>
        <v>-0.25</v>
      </c>
    </row>
    <row r="156" spans="1:24" ht="14.45" customHeight="1">
      <c r="A156" s="513"/>
      <c r="B156" s="522"/>
      <c r="C156" s="531"/>
      <c r="D156" s="522"/>
      <c r="E156" s="3388"/>
      <c r="F156" s="2247" t="s">
        <v>2343</v>
      </c>
      <c r="G156" s="2683">
        <v>150000</v>
      </c>
      <c r="H156" s="2249" t="s">
        <v>21</v>
      </c>
      <c r="I156" s="2251">
        <v>12</v>
      </c>
      <c r="J156" s="2684"/>
      <c r="K156" s="2687"/>
      <c r="L156" s="2688"/>
      <c r="M156" s="2687"/>
      <c r="N156" s="2689"/>
      <c r="O156" s="2689" t="s">
        <v>22</v>
      </c>
      <c r="P156" s="2690">
        <f>G156*I156</f>
        <v>1800000</v>
      </c>
      <c r="Q156" s="2194"/>
      <c r="R156" s="2194"/>
      <c r="S156" s="2609"/>
      <c r="T156" s="2610"/>
    </row>
    <row r="157" spans="1:24" ht="14.45" customHeight="1">
      <c r="A157" s="2661"/>
      <c r="B157" s="551"/>
      <c r="C157" s="515"/>
      <c r="D157" s="551"/>
      <c r="E157" s="3390"/>
      <c r="F157" s="3476" t="s">
        <v>107</v>
      </c>
      <c r="G157" s="3477"/>
      <c r="H157" s="3478"/>
      <c r="I157" s="3479"/>
      <c r="J157" s="3478"/>
      <c r="K157" s="3479"/>
      <c r="L157" s="3480"/>
      <c r="M157" s="3481"/>
      <c r="N157" s="3482"/>
      <c r="O157" s="3482"/>
      <c r="P157" s="3483">
        <f>SUM(P158:P158)</f>
        <v>880000</v>
      </c>
      <c r="Q157" s="683">
        <f>P157</f>
        <v>880000</v>
      </c>
      <c r="R157" s="3083">
        <v>4480000</v>
      </c>
      <c r="S157" s="2801">
        <f>Q157-R157</f>
        <v>-3600000</v>
      </c>
      <c r="T157" s="2802">
        <f>S157/R157</f>
        <v>-0.8035714285714286</v>
      </c>
    </row>
    <row r="158" spans="1:24" ht="14.45" customHeight="1">
      <c r="A158" s="513"/>
      <c r="B158" s="522"/>
      <c r="C158" s="531"/>
      <c r="D158" s="522"/>
      <c r="E158" s="3388"/>
      <c r="F158" s="2247" t="s">
        <v>108</v>
      </c>
      <c r="G158" s="2248">
        <v>80000</v>
      </c>
      <c r="H158" s="2249" t="s">
        <v>21</v>
      </c>
      <c r="I158" s="2736">
        <v>11</v>
      </c>
      <c r="J158" s="2249"/>
      <c r="K158" s="2736"/>
      <c r="L158" s="2252"/>
      <c r="M158" s="2251"/>
      <c r="N158" s="2253"/>
      <c r="O158" s="2253" t="s">
        <v>22</v>
      </c>
      <c r="P158" s="2254">
        <f>G158*I158</f>
        <v>880000</v>
      </c>
      <c r="Q158" s="2194"/>
      <c r="R158" s="2194"/>
      <c r="S158" s="2609"/>
      <c r="T158" s="2610"/>
    </row>
    <row r="159" spans="1:24" ht="14.45" customHeight="1">
      <c r="A159" s="513"/>
      <c r="B159" s="522"/>
      <c r="C159" s="531"/>
      <c r="D159" s="522"/>
      <c r="E159" s="3637" t="s">
        <v>3029</v>
      </c>
      <c r="F159" s="3638"/>
      <c r="G159" s="3638"/>
      <c r="H159" s="3638"/>
      <c r="I159" s="3638"/>
      <c r="J159" s="3638"/>
      <c r="K159" s="3638"/>
      <c r="L159" s="3638"/>
      <c r="M159" s="3638"/>
      <c r="N159" s="3638"/>
      <c r="O159" s="3638"/>
      <c r="P159" s="3639"/>
      <c r="Q159" s="540">
        <f>P160</f>
        <v>23000000</v>
      </c>
      <c r="R159" s="540">
        <f>R160+R163</f>
        <v>44000000</v>
      </c>
      <c r="S159" s="541">
        <f>Q159-R159</f>
        <v>-21000000</v>
      </c>
      <c r="T159" s="542">
        <f>S159/R159</f>
        <v>-0.47727272727272729</v>
      </c>
    </row>
    <row r="160" spans="1:24" ht="14.45" customHeight="1">
      <c r="A160" s="513"/>
      <c r="B160" s="522"/>
      <c r="C160" s="531"/>
      <c r="D160" s="522"/>
      <c r="F160" s="2592" t="s">
        <v>1018</v>
      </c>
      <c r="G160" s="2593"/>
      <c r="H160" s="2594"/>
      <c r="I160" s="2594"/>
      <c r="J160" s="2594"/>
      <c r="K160" s="2594"/>
      <c r="L160" s="2595"/>
      <c r="M160" s="2594"/>
      <c r="N160" s="2596"/>
      <c r="O160" s="2596"/>
      <c r="P160" s="2597">
        <f>SUM(P161:P162)</f>
        <v>23000000</v>
      </c>
      <c r="Q160" s="653">
        <f>P160</f>
        <v>23000000</v>
      </c>
      <c r="R160" s="1755">
        <v>39000000</v>
      </c>
      <c r="S160" s="2598">
        <f>Q160-R160</f>
        <v>-16000000</v>
      </c>
      <c r="T160" s="2649">
        <f>S160/R160</f>
        <v>-0.41025641025641024</v>
      </c>
    </row>
    <row r="161" spans="1:24" ht="14.45" customHeight="1">
      <c r="A161" s="513"/>
      <c r="B161" s="522"/>
      <c r="C161" s="531"/>
      <c r="D161" s="522"/>
      <c r="F161" s="2247" t="s">
        <v>1019</v>
      </c>
      <c r="G161" s="2650">
        <v>300000</v>
      </c>
      <c r="H161" s="2249" t="s">
        <v>21</v>
      </c>
      <c r="I161" s="2250">
        <v>10</v>
      </c>
      <c r="J161" s="2249"/>
      <c r="K161" s="2251"/>
      <c r="L161" s="2252"/>
      <c r="M161" s="2251"/>
      <c r="N161" s="2253"/>
      <c r="O161" s="2253" t="s">
        <v>22</v>
      </c>
      <c r="P161" s="2254">
        <f>G161*I161</f>
        <v>3000000</v>
      </c>
      <c r="Q161" s="2194"/>
      <c r="R161" s="2194"/>
      <c r="S161" s="2609"/>
      <c r="T161" s="2610"/>
    </row>
    <row r="162" spans="1:24" ht="14.45" customHeight="1">
      <c r="A162" s="513"/>
      <c r="B162" s="522"/>
      <c r="C162" s="531"/>
      <c r="D162" s="522"/>
      <c r="E162" s="3388"/>
      <c r="F162" s="2247" t="s">
        <v>1020</v>
      </c>
      <c r="G162" s="2650">
        <v>2000000</v>
      </c>
      <c r="H162" s="2249" t="s">
        <v>21</v>
      </c>
      <c r="I162" s="2657">
        <v>10</v>
      </c>
      <c r="J162" s="2249"/>
      <c r="K162" s="2251"/>
      <c r="L162" s="2252"/>
      <c r="M162" s="2251"/>
      <c r="N162" s="2253"/>
      <c r="O162" s="2253" t="s">
        <v>22</v>
      </c>
      <c r="P162" s="2254">
        <f>G162*I162</f>
        <v>20000000</v>
      </c>
      <c r="Q162" s="2630"/>
      <c r="R162" s="2630"/>
      <c r="S162" s="2631"/>
      <c r="T162" s="2651"/>
    </row>
    <row r="163" spans="1:24" ht="14.45" customHeight="1">
      <c r="A163" s="513"/>
      <c r="B163" s="522"/>
      <c r="C163" s="531"/>
      <c r="D163" s="522"/>
      <c r="E163" s="3388"/>
      <c r="F163" s="2592" t="s">
        <v>2873</v>
      </c>
      <c r="G163" s="2593"/>
      <c r="H163" s="2594"/>
      <c r="I163" s="2594"/>
      <c r="J163" s="2594"/>
      <c r="K163" s="2594"/>
      <c r="L163" s="2595"/>
      <c r="M163" s="2594"/>
      <c r="N163" s="2596"/>
      <c r="O163" s="2596"/>
      <c r="P163" s="2597"/>
      <c r="Q163" s="2737">
        <f>P163</f>
        <v>0</v>
      </c>
      <c r="R163" s="1755">
        <v>5000000</v>
      </c>
      <c r="S163" s="2598">
        <f>Q163-R163</f>
        <v>-5000000</v>
      </c>
      <c r="T163" s="2649">
        <f>S163/R163</f>
        <v>-1</v>
      </c>
    </row>
    <row r="164" spans="1:24" ht="14.45" customHeight="1">
      <c r="A164" s="513"/>
      <c r="B164" s="522"/>
      <c r="C164" s="531"/>
      <c r="D164" s="522"/>
      <c r="E164" s="3637" t="s">
        <v>3028</v>
      </c>
      <c r="F164" s="3638"/>
      <c r="G164" s="3638"/>
      <c r="H164" s="3638"/>
      <c r="I164" s="3638"/>
      <c r="J164" s="3638"/>
      <c r="K164" s="3638"/>
      <c r="L164" s="3638"/>
      <c r="M164" s="3638"/>
      <c r="N164" s="3638"/>
      <c r="O164" s="3638"/>
      <c r="P164" s="3639"/>
      <c r="Q164" s="540">
        <f>P165</f>
        <v>790000</v>
      </c>
      <c r="R164" s="540">
        <v>790000</v>
      </c>
      <c r="S164" s="541">
        <f>Q164-R164</f>
        <v>0</v>
      </c>
      <c r="T164" s="542">
        <f>S164/R164</f>
        <v>0</v>
      </c>
    </row>
    <row r="165" spans="1:24" ht="14.45" customHeight="1">
      <c r="A165" s="513"/>
      <c r="B165" s="522"/>
      <c r="C165" s="531"/>
      <c r="D165" s="522"/>
      <c r="F165" s="2592" t="s">
        <v>109</v>
      </c>
      <c r="G165" s="2593"/>
      <c r="H165" s="2594"/>
      <c r="I165" s="2594"/>
      <c r="J165" s="2594"/>
      <c r="K165" s="2594"/>
      <c r="L165" s="2595"/>
      <c r="M165" s="2594"/>
      <c r="N165" s="2596"/>
      <c r="O165" s="2596"/>
      <c r="P165" s="2597">
        <f>SUM(P166:P167)</f>
        <v>790000</v>
      </c>
      <c r="Q165" s="653">
        <f>P165</f>
        <v>790000</v>
      </c>
      <c r="R165" s="1755">
        <v>790000</v>
      </c>
      <c r="S165" s="2598">
        <f>Q165-R165</f>
        <v>0</v>
      </c>
      <c r="T165" s="2649">
        <f>S165/R165</f>
        <v>0</v>
      </c>
    </row>
    <row r="166" spans="1:24" ht="14.45" customHeight="1">
      <c r="A166" s="513"/>
      <c r="B166" s="522"/>
      <c r="C166" s="531"/>
      <c r="D166" s="522"/>
      <c r="E166" s="3388"/>
      <c r="F166" s="2247" t="s">
        <v>110</v>
      </c>
      <c r="G166" s="2702">
        <v>400000</v>
      </c>
      <c r="H166" s="2684" t="s">
        <v>21</v>
      </c>
      <c r="I166" s="2698">
        <v>1</v>
      </c>
      <c r="J166" s="2684"/>
      <c r="K166" s="2687"/>
      <c r="L166" s="2688"/>
      <c r="M166" s="2687"/>
      <c r="N166" s="2689"/>
      <c r="O166" s="2689" t="s">
        <v>22</v>
      </c>
      <c r="P166" s="2690">
        <f>ROUNDUP(G166*I166,-3)</f>
        <v>400000</v>
      </c>
      <c r="Q166" s="2194"/>
      <c r="R166" s="2194"/>
      <c r="S166" s="2609"/>
      <c r="T166" s="2610"/>
    </row>
    <row r="167" spans="1:24" ht="14.45" customHeight="1">
      <c r="A167" s="513"/>
      <c r="B167" s="522"/>
      <c r="C167" s="531"/>
      <c r="D167" s="522"/>
      <c r="E167" s="3391"/>
      <c r="F167" s="2672" t="s">
        <v>111</v>
      </c>
      <c r="G167" s="2673">
        <v>390000</v>
      </c>
      <c r="H167" s="2674" t="s">
        <v>21</v>
      </c>
      <c r="I167" s="2722">
        <v>1</v>
      </c>
      <c r="J167" s="2674"/>
      <c r="K167" s="2676"/>
      <c r="L167" s="2677"/>
      <c r="M167" s="2676"/>
      <c r="N167" s="2678"/>
      <c r="O167" s="2678" t="s">
        <v>22</v>
      </c>
      <c r="P167" s="2679">
        <f>ROUNDUP(G167*I167,-3)</f>
        <v>390000</v>
      </c>
      <c r="Q167" s="2669"/>
      <c r="R167" s="2669"/>
      <c r="S167" s="2670"/>
      <c r="T167" s="2671"/>
    </row>
    <row r="168" spans="1:24" ht="14.45" customHeight="1">
      <c r="A168" s="513"/>
      <c r="B168" s="522"/>
      <c r="C168" s="531"/>
      <c r="D168" s="522"/>
      <c r="E168" s="3637" t="s">
        <v>253</v>
      </c>
      <c r="F168" s="3638"/>
      <c r="G168" s="3638"/>
      <c r="H168" s="3638"/>
      <c r="I168" s="3638"/>
      <c r="J168" s="3638"/>
      <c r="K168" s="3638"/>
      <c r="L168" s="3638"/>
      <c r="M168" s="3638"/>
      <c r="N168" s="3638"/>
      <c r="O168" s="3638"/>
      <c r="P168" s="3639"/>
      <c r="Q168" s="2680">
        <f>P169+P172</f>
        <v>9800000</v>
      </c>
      <c r="R168" s="2680">
        <v>11800000</v>
      </c>
      <c r="S168" s="2681">
        <f>Q168-R168</f>
        <v>-2000000</v>
      </c>
      <c r="T168" s="2682">
        <f>S168/R168</f>
        <v>-0.16949152542372881</v>
      </c>
    </row>
    <row r="169" spans="1:24" ht="14.45" customHeight="1">
      <c r="A169" s="513"/>
      <c r="B169" s="522"/>
      <c r="C169" s="531"/>
      <c r="D169" s="522"/>
      <c r="E169" s="3372"/>
      <c r="F169" s="2723" t="s">
        <v>112</v>
      </c>
      <c r="G169" s="2724"/>
      <c r="H169" s="2725"/>
      <c r="I169" s="2725"/>
      <c r="J169" s="2725"/>
      <c r="K169" s="2725"/>
      <c r="L169" s="2726"/>
      <c r="M169" s="2725"/>
      <c r="N169" s="2727"/>
      <c r="O169" s="2727"/>
      <c r="P169" s="2728">
        <f>SUM(P170:P171)</f>
        <v>7000000</v>
      </c>
      <c r="Q169" s="653">
        <f>P169</f>
        <v>7000000</v>
      </c>
      <c r="R169" s="2729">
        <v>7000000</v>
      </c>
      <c r="S169" s="2598">
        <f>Q169-R169</f>
        <v>0</v>
      </c>
      <c r="T169" s="2649">
        <f>S169/R169</f>
        <v>0</v>
      </c>
    </row>
    <row r="170" spans="1:24" ht="14.45" customHeight="1">
      <c r="A170" s="513"/>
      <c r="B170" s="522"/>
      <c r="C170" s="531"/>
      <c r="D170" s="522"/>
      <c r="E170" s="3276"/>
      <c r="F170" s="2247" t="s">
        <v>1021</v>
      </c>
      <c r="G170" s="2650">
        <v>3000000</v>
      </c>
      <c r="H170" s="2249" t="s">
        <v>21</v>
      </c>
      <c r="I170" s="2657">
        <v>1</v>
      </c>
      <c r="J170" s="2249"/>
      <c r="K170" s="2657"/>
      <c r="L170" s="2252"/>
      <c r="M170" s="2251"/>
      <c r="N170" s="2253"/>
      <c r="O170" s="2253" t="s">
        <v>22</v>
      </c>
      <c r="P170" s="2254">
        <f>G170*I170</f>
        <v>3000000</v>
      </c>
      <c r="Q170" s="2194"/>
      <c r="R170" s="2194"/>
      <c r="S170" s="2609"/>
      <c r="T170" s="2610"/>
    </row>
    <row r="171" spans="1:24" ht="14.45" customHeight="1">
      <c r="A171" s="513"/>
      <c r="B171" s="522"/>
      <c r="C171" s="531"/>
      <c r="D171" s="522"/>
      <c r="E171" s="3395"/>
      <c r="F171" s="2247" t="s">
        <v>1022</v>
      </c>
      <c r="G171" s="2650">
        <v>1000000</v>
      </c>
      <c r="H171" s="2249" t="s">
        <v>21</v>
      </c>
      <c r="I171" s="2738">
        <v>4</v>
      </c>
      <c r="J171" s="2249"/>
      <c r="K171" s="2657"/>
      <c r="L171" s="2252"/>
      <c r="M171" s="2251"/>
      <c r="N171" s="2253"/>
      <c r="O171" s="2253" t="s">
        <v>22</v>
      </c>
      <c r="P171" s="2254">
        <f>G171*I171</f>
        <v>4000000</v>
      </c>
      <c r="Q171" s="2194"/>
      <c r="R171" s="2194"/>
      <c r="S171" s="2609"/>
      <c r="T171" s="2610"/>
      <c r="U171" s="2739"/>
    </row>
    <row r="172" spans="1:24" ht="14.45" customHeight="1">
      <c r="A172" s="513"/>
      <c r="B172" s="522"/>
      <c r="C172" s="531"/>
      <c r="D172" s="522"/>
      <c r="E172" s="3273"/>
      <c r="F172" s="2592" t="s">
        <v>1023</v>
      </c>
      <c r="G172" s="2593"/>
      <c r="H172" s="2594"/>
      <c r="I172" s="2594"/>
      <c r="J172" s="2594"/>
      <c r="K172" s="2594"/>
      <c r="L172" s="2595"/>
      <c r="M172" s="2594"/>
      <c r="N172" s="2596"/>
      <c r="O172" s="2596"/>
      <c r="P172" s="2597">
        <f>SUM(P173:P174)</f>
        <v>2800000</v>
      </c>
      <c r="Q172" s="653">
        <f>P172</f>
        <v>2800000</v>
      </c>
      <c r="R172" s="1755">
        <v>4800000</v>
      </c>
      <c r="S172" s="2598">
        <f>Q172-R172</f>
        <v>-2000000</v>
      </c>
      <c r="T172" s="2649">
        <f>S172/R172</f>
        <v>-0.41666666666666669</v>
      </c>
    </row>
    <row r="173" spans="1:24" ht="14.45" customHeight="1">
      <c r="A173" s="513"/>
      <c r="B173" s="522"/>
      <c r="C173" s="531"/>
      <c r="D173" s="522"/>
      <c r="E173" s="3273"/>
      <c r="F173" s="2740" t="s">
        <v>1024</v>
      </c>
      <c r="G173" s="2702">
        <v>500000</v>
      </c>
      <c r="H173" s="2684" t="s">
        <v>21</v>
      </c>
      <c r="I173" s="2698">
        <v>2</v>
      </c>
      <c r="J173" s="2684"/>
      <c r="K173" s="2684"/>
      <c r="L173" s="2700"/>
      <c r="M173" s="2684"/>
      <c r="N173" s="2689"/>
      <c r="O173" s="2689" t="s">
        <v>22</v>
      </c>
      <c r="P173" s="2701">
        <f>G173*I173</f>
        <v>1000000</v>
      </c>
      <c r="Q173" s="2194"/>
      <c r="R173" s="2194"/>
      <c r="S173" s="2609"/>
      <c r="T173" s="2610"/>
    </row>
    <row r="174" spans="1:24" ht="14.45" customHeight="1">
      <c r="A174" s="1326"/>
      <c r="B174" s="522"/>
      <c r="C174" s="522"/>
      <c r="D174" s="522"/>
      <c r="E174" s="3273"/>
      <c r="F174" s="2740" t="s">
        <v>1025</v>
      </c>
      <c r="G174" s="2702">
        <v>300000</v>
      </c>
      <c r="H174" s="2684" t="s">
        <v>21</v>
      </c>
      <c r="I174" s="2698">
        <v>6</v>
      </c>
      <c r="J174" s="2684"/>
      <c r="K174" s="2684"/>
      <c r="L174" s="2700"/>
      <c r="M174" s="2684"/>
      <c r="N174" s="2689"/>
      <c r="O174" s="2689" t="s">
        <v>22</v>
      </c>
      <c r="P174" s="2701">
        <f>G174*I174</f>
        <v>1800000</v>
      </c>
      <c r="Q174" s="2194"/>
      <c r="R174" s="2194"/>
      <c r="S174" s="2609"/>
      <c r="T174" s="2610"/>
    </row>
    <row r="175" spans="1:24" ht="14.45" customHeight="1">
      <c r="A175" s="513"/>
      <c r="B175" s="522"/>
      <c r="C175" s="531"/>
      <c r="D175" s="522"/>
      <c r="E175" s="3637" t="s">
        <v>199</v>
      </c>
      <c r="F175" s="3638"/>
      <c r="G175" s="3638"/>
      <c r="H175" s="3638"/>
      <c r="I175" s="3638"/>
      <c r="J175" s="3638"/>
      <c r="K175" s="3638"/>
      <c r="L175" s="3638"/>
      <c r="M175" s="3638"/>
      <c r="N175" s="3638"/>
      <c r="O175" s="3638"/>
      <c r="P175" s="3639"/>
      <c r="Q175" s="540">
        <f>P176+P179+P182+P185+P187+P190</f>
        <v>10800000</v>
      </c>
      <c r="R175" s="540">
        <v>10600000</v>
      </c>
      <c r="S175" s="541">
        <f>Q175-R175</f>
        <v>200000</v>
      </c>
      <c r="T175" s="542">
        <f>S175/R175</f>
        <v>1.8867924528301886E-2</v>
      </c>
      <c r="X175" s="2582"/>
    </row>
    <row r="176" spans="1:24" ht="14.45" customHeight="1">
      <c r="A176" s="513"/>
      <c r="B176" s="522"/>
      <c r="C176" s="531"/>
      <c r="D176" s="522"/>
      <c r="F176" s="2592" t="s">
        <v>113</v>
      </c>
      <c r="G176" s="2593"/>
      <c r="H176" s="2594"/>
      <c r="I176" s="2594"/>
      <c r="J176" s="2594"/>
      <c r="K176" s="2594"/>
      <c r="L176" s="2595"/>
      <c r="M176" s="2594"/>
      <c r="N176" s="2596"/>
      <c r="O176" s="2596"/>
      <c r="P176" s="2597">
        <f>SUM(P177:P178)</f>
        <v>3000000</v>
      </c>
      <c r="Q176" s="653">
        <f>P176</f>
        <v>3000000</v>
      </c>
      <c r="R176" s="1755">
        <v>2000000</v>
      </c>
      <c r="S176" s="2598">
        <f>Q176-R176</f>
        <v>1000000</v>
      </c>
      <c r="T176" s="2649">
        <f>S176/R176</f>
        <v>0.5</v>
      </c>
      <c r="X176" s="2739"/>
    </row>
    <row r="177" spans="1:25" ht="14.45" customHeight="1">
      <c r="A177" s="513"/>
      <c r="B177" s="522"/>
      <c r="C177" s="531"/>
      <c r="D177" s="522"/>
      <c r="E177" s="3388"/>
      <c r="F177" s="2247" t="s">
        <v>2403</v>
      </c>
      <c r="G177" s="2683">
        <v>600000</v>
      </c>
      <c r="H177" s="2684" t="s">
        <v>21</v>
      </c>
      <c r="I177" s="2698">
        <v>3</v>
      </c>
      <c r="J177" s="2684"/>
      <c r="K177" s="2687"/>
      <c r="L177" s="2688"/>
      <c r="M177" s="2687"/>
      <c r="N177" s="2689"/>
      <c r="O177" s="2689" t="s">
        <v>22</v>
      </c>
      <c r="P177" s="2690">
        <f>G177*I177</f>
        <v>1800000</v>
      </c>
      <c r="Q177" s="2194"/>
      <c r="R177" s="2194"/>
      <c r="S177" s="2609"/>
      <c r="T177" s="2610"/>
      <c r="V177" s="495">
        <v>1960000</v>
      </c>
      <c r="X177" s="2739">
        <f>V177/2</f>
        <v>980000</v>
      </c>
    </row>
    <row r="178" spans="1:25" ht="14.45" customHeight="1">
      <c r="A178" s="513"/>
      <c r="B178" s="522"/>
      <c r="C178" s="531"/>
      <c r="D178" s="522"/>
      <c r="E178" s="3388"/>
      <c r="F178" s="2247" t="s">
        <v>2404</v>
      </c>
      <c r="G178" s="2683">
        <v>400000</v>
      </c>
      <c r="H178" s="2684" t="s">
        <v>21</v>
      </c>
      <c r="I178" s="2698">
        <v>3</v>
      </c>
      <c r="J178" s="2684"/>
      <c r="K178" s="2687"/>
      <c r="L178" s="2688"/>
      <c r="M178" s="2687"/>
      <c r="N178" s="2689"/>
      <c r="O178" s="2689" t="s">
        <v>22</v>
      </c>
      <c r="P178" s="2690">
        <f>G178*I178</f>
        <v>1200000</v>
      </c>
      <c r="Q178" s="2194"/>
      <c r="R178" s="2194"/>
      <c r="S178" s="2609"/>
      <c r="T178" s="2610"/>
      <c r="X178" s="2739">
        <f>P177+X177</f>
        <v>2780000</v>
      </c>
      <c r="Y178" s="495">
        <f>X178/4</f>
        <v>695000</v>
      </c>
    </row>
    <row r="179" spans="1:25" ht="14.45" customHeight="1">
      <c r="A179" s="513"/>
      <c r="B179" s="522"/>
      <c r="C179" s="531"/>
      <c r="D179" s="522"/>
      <c r="F179" s="2592" t="s">
        <v>1026</v>
      </c>
      <c r="G179" s="2593"/>
      <c r="H179" s="2594"/>
      <c r="I179" s="2594"/>
      <c r="J179" s="2594"/>
      <c r="K179" s="2594"/>
      <c r="L179" s="2595"/>
      <c r="M179" s="2594"/>
      <c r="N179" s="2596"/>
      <c r="O179" s="2596"/>
      <c r="P179" s="2597">
        <f>SUM(P180:P181)</f>
        <v>2400000</v>
      </c>
      <c r="Q179" s="653">
        <f>P179</f>
        <v>2400000</v>
      </c>
      <c r="R179" s="1755">
        <v>4000000</v>
      </c>
      <c r="S179" s="2598">
        <f>Q179-R179</f>
        <v>-1600000</v>
      </c>
      <c r="T179" s="2649">
        <f>S179/R179</f>
        <v>-0.4</v>
      </c>
      <c r="X179" s="2739"/>
    </row>
    <row r="180" spans="1:25" ht="14.45" customHeight="1">
      <c r="A180" s="513"/>
      <c r="B180" s="522"/>
      <c r="C180" s="531"/>
      <c r="D180" s="522"/>
      <c r="E180" s="3388"/>
      <c r="F180" s="2247" t="s">
        <v>2402</v>
      </c>
      <c r="G180" s="2683">
        <v>500000</v>
      </c>
      <c r="H180" s="2684" t="s">
        <v>21</v>
      </c>
      <c r="I180" s="2698">
        <v>4</v>
      </c>
      <c r="J180" s="2684"/>
      <c r="K180" s="2687"/>
      <c r="L180" s="2688"/>
      <c r="M180" s="2687"/>
      <c r="N180" s="2689"/>
      <c r="O180" s="2689" t="s">
        <v>22</v>
      </c>
      <c r="P180" s="2690">
        <f>G180*I180</f>
        <v>2000000</v>
      </c>
      <c r="Q180" s="2194"/>
      <c r="R180" s="2194"/>
      <c r="S180" s="2609"/>
      <c r="T180" s="2610"/>
      <c r="X180" s="2739"/>
    </row>
    <row r="181" spans="1:25" ht="14.45" customHeight="1">
      <c r="A181" s="513"/>
      <c r="B181" s="522"/>
      <c r="C181" s="531"/>
      <c r="D181" s="522"/>
      <c r="E181" s="3388"/>
      <c r="F181" s="2247" t="s">
        <v>2401</v>
      </c>
      <c r="G181" s="2683">
        <v>100000</v>
      </c>
      <c r="H181" s="2684" t="s">
        <v>21</v>
      </c>
      <c r="I181" s="2698">
        <v>4</v>
      </c>
      <c r="J181" s="2684"/>
      <c r="K181" s="2687"/>
      <c r="L181" s="2688"/>
      <c r="M181" s="2687"/>
      <c r="N181" s="2689"/>
      <c r="O181" s="2689" t="s">
        <v>22</v>
      </c>
      <c r="P181" s="2690">
        <f>G181*I181</f>
        <v>400000</v>
      </c>
      <c r="Q181" s="2194"/>
      <c r="R181" s="2194"/>
      <c r="S181" s="2609"/>
      <c r="T181" s="2610"/>
      <c r="X181" s="2739">
        <f>P178+X177</f>
        <v>2180000</v>
      </c>
    </row>
    <row r="182" spans="1:25" ht="14.45" customHeight="1">
      <c r="A182" s="513"/>
      <c r="B182" s="522"/>
      <c r="C182" s="531"/>
      <c r="D182" s="522"/>
      <c r="E182" s="3388"/>
      <c r="F182" s="2592" t="s">
        <v>114</v>
      </c>
      <c r="G182" s="2593"/>
      <c r="H182" s="2594"/>
      <c r="I182" s="2594"/>
      <c r="J182" s="2594"/>
      <c r="K182" s="2594"/>
      <c r="L182" s="2595"/>
      <c r="M182" s="2594"/>
      <c r="N182" s="2596"/>
      <c r="O182" s="2596"/>
      <c r="P182" s="2597">
        <f>SUM(P183:P184)</f>
        <v>1600000</v>
      </c>
      <c r="Q182" s="653">
        <f>P182</f>
        <v>1600000</v>
      </c>
      <c r="R182" s="1755">
        <v>2000000</v>
      </c>
      <c r="S182" s="2598">
        <f>Q182-R182</f>
        <v>-400000</v>
      </c>
      <c r="T182" s="2649">
        <f>S182/R182</f>
        <v>-0.2</v>
      </c>
      <c r="X182" s="2739"/>
    </row>
    <row r="183" spans="1:25" ht="14.45" customHeight="1">
      <c r="A183" s="513"/>
      <c r="B183" s="522"/>
      <c r="C183" s="531"/>
      <c r="D183" s="522"/>
      <c r="E183" s="3388"/>
      <c r="F183" s="2247" t="s">
        <v>2405</v>
      </c>
      <c r="G183" s="2683">
        <v>300000</v>
      </c>
      <c r="H183" s="2684" t="s">
        <v>21</v>
      </c>
      <c r="I183" s="2698">
        <v>1</v>
      </c>
      <c r="J183" s="2684" t="s">
        <v>21</v>
      </c>
      <c r="K183" s="2733">
        <v>4</v>
      </c>
      <c r="L183" s="2688"/>
      <c r="M183" s="2687"/>
      <c r="N183" s="2689"/>
      <c r="O183" s="2689" t="s">
        <v>22</v>
      </c>
      <c r="P183" s="2690">
        <f>G183*I183*K183</f>
        <v>1200000</v>
      </c>
      <c r="Q183" s="2194"/>
      <c r="R183" s="2194"/>
      <c r="S183" s="2609"/>
      <c r="T183" s="2610"/>
      <c r="X183" s="2739"/>
    </row>
    <row r="184" spans="1:25" ht="14.45" customHeight="1">
      <c r="A184" s="513"/>
      <c r="B184" s="522"/>
      <c r="C184" s="531"/>
      <c r="D184" s="522"/>
      <c r="E184" s="3396"/>
      <c r="F184" s="2247" t="s">
        <v>2407</v>
      </c>
      <c r="G184" s="2683">
        <v>100000</v>
      </c>
      <c r="H184" s="2684" t="s">
        <v>21</v>
      </c>
      <c r="I184" s="2698">
        <v>1</v>
      </c>
      <c r="J184" s="2684" t="s">
        <v>21</v>
      </c>
      <c r="K184" s="2733">
        <v>4</v>
      </c>
      <c r="L184" s="2688"/>
      <c r="M184" s="2687"/>
      <c r="N184" s="2689"/>
      <c r="O184" s="2689" t="s">
        <v>22</v>
      </c>
      <c r="P184" s="2690">
        <f>G184*I184*K184</f>
        <v>400000</v>
      </c>
      <c r="Q184" s="2194"/>
      <c r="R184" s="2194"/>
      <c r="S184" s="2609"/>
      <c r="T184" s="2610"/>
      <c r="X184" s="2739">
        <f>X181/4</f>
        <v>545000</v>
      </c>
    </row>
    <row r="185" spans="1:25" ht="14.45" customHeight="1">
      <c r="A185" s="513"/>
      <c r="B185" s="522"/>
      <c r="C185" s="531"/>
      <c r="D185" s="522"/>
      <c r="E185" s="3396"/>
      <c r="F185" s="2592" t="s">
        <v>1027</v>
      </c>
      <c r="G185" s="2593"/>
      <c r="H185" s="2594"/>
      <c r="I185" s="2594"/>
      <c r="J185" s="2594"/>
      <c r="K185" s="2594"/>
      <c r="L185" s="2595"/>
      <c r="M185" s="2594"/>
      <c r="N185" s="2596"/>
      <c r="O185" s="2596"/>
      <c r="P185" s="2597">
        <f>P186</f>
        <v>1200000</v>
      </c>
      <c r="Q185" s="653">
        <f>P185</f>
        <v>1200000</v>
      </c>
      <c r="R185" s="1755">
        <v>1000000</v>
      </c>
      <c r="S185" s="2598">
        <f>Q185-R185</f>
        <v>200000</v>
      </c>
      <c r="T185" s="2649">
        <f>S185/R185</f>
        <v>0.2</v>
      </c>
      <c r="X185" s="2739"/>
    </row>
    <row r="186" spans="1:25" ht="14.45" customHeight="1">
      <c r="A186" s="513"/>
      <c r="B186" s="522"/>
      <c r="C186" s="531"/>
      <c r="D186" s="522"/>
      <c r="E186" s="522"/>
      <c r="F186" s="2247" t="s">
        <v>2406</v>
      </c>
      <c r="G186" s="2650">
        <v>300000</v>
      </c>
      <c r="H186" s="2249" t="s">
        <v>21</v>
      </c>
      <c r="I186" s="2657">
        <v>1</v>
      </c>
      <c r="J186" s="2249" t="s">
        <v>21</v>
      </c>
      <c r="K186" s="2738">
        <v>4</v>
      </c>
      <c r="L186" s="2252"/>
      <c r="M186" s="2251"/>
      <c r="N186" s="2253"/>
      <c r="O186" s="2253" t="s">
        <v>22</v>
      </c>
      <c r="P186" s="2254">
        <f>G186*I186*K186</f>
        <v>1200000</v>
      </c>
      <c r="Q186" s="2630"/>
      <c r="R186" s="2194"/>
      <c r="S186" s="2609"/>
      <c r="T186" s="2610"/>
      <c r="X186" s="2739"/>
    </row>
    <row r="187" spans="1:25" ht="14.45" customHeight="1">
      <c r="A187" s="513"/>
      <c r="B187" s="522"/>
      <c r="C187" s="531"/>
      <c r="D187" s="522"/>
      <c r="E187" s="3396"/>
      <c r="F187" s="2592" t="s">
        <v>1028</v>
      </c>
      <c r="G187" s="2593"/>
      <c r="H187" s="2594"/>
      <c r="I187" s="2594"/>
      <c r="J187" s="2594"/>
      <c r="K187" s="2594"/>
      <c r="L187" s="2595"/>
      <c r="M187" s="2594"/>
      <c r="N187" s="2596"/>
      <c r="O187" s="2596"/>
      <c r="P187" s="2597">
        <f>SUM(P188:P189)</f>
        <v>2000000</v>
      </c>
      <c r="Q187" s="653">
        <f>P187</f>
        <v>2000000</v>
      </c>
      <c r="R187" s="1755">
        <v>1000000</v>
      </c>
      <c r="S187" s="2598">
        <f>Q187-R187</f>
        <v>1000000</v>
      </c>
      <c r="T187" s="2649">
        <f>S187/R187</f>
        <v>1</v>
      </c>
      <c r="X187" s="2739"/>
    </row>
    <row r="188" spans="1:25" ht="14.45" customHeight="1">
      <c r="A188" s="513"/>
      <c r="B188" s="522"/>
      <c r="C188" s="531"/>
      <c r="D188" s="522"/>
      <c r="E188" s="522"/>
      <c r="F188" s="2247" t="s">
        <v>2408</v>
      </c>
      <c r="G188" s="2650">
        <v>400000</v>
      </c>
      <c r="H188" s="2249" t="s">
        <v>21</v>
      </c>
      <c r="I188" s="2657">
        <v>1</v>
      </c>
      <c r="J188" s="2249" t="s">
        <v>21</v>
      </c>
      <c r="K188" s="2738">
        <v>4</v>
      </c>
      <c r="L188" s="2252"/>
      <c r="M188" s="2251"/>
      <c r="N188" s="2253"/>
      <c r="O188" s="2253" t="s">
        <v>22</v>
      </c>
      <c r="P188" s="2254">
        <f>G188*I188*K188</f>
        <v>1600000</v>
      </c>
      <c r="Q188" s="2630"/>
      <c r="R188" s="2194"/>
      <c r="S188" s="2609"/>
      <c r="T188" s="2610"/>
      <c r="X188" s="2739"/>
    </row>
    <row r="189" spans="1:25" ht="14.45" customHeight="1">
      <c r="A189" s="513"/>
      <c r="B189" s="522"/>
      <c r="C189" s="531"/>
      <c r="D189" s="522"/>
      <c r="E189" s="522"/>
      <c r="F189" s="2247" t="s">
        <v>2409</v>
      </c>
      <c r="G189" s="2650">
        <v>100000</v>
      </c>
      <c r="H189" s="2774" t="s">
        <v>21</v>
      </c>
      <c r="I189" s="2657">
        <v>1</v>
      </c>
      <c r="J189" s="2249" t="s">
        <v>21</v>
      </c>
      <c r="K189" s="2738">
        <v>4</v>
      </c>
      <c r="L189" s="2252"/>
      <c r="M189" s="2251"/>
      <c r="N189" s="2253"/>
      <c r="O189" s="2253" t="s">
        <v>22</v>
      </c>
      <c r="P189" s="2254">
        <f>G189*I189*K189</f>
        <v>400000</v>
      </c>
      <c r="Q189" s="2630"/>
      <c r="R189" s="2194"/>
      <c r="S189" s="2609"/>
      <c r="T189" s="2610"/>
      <c r="X189" s="2739"/>
    </row>
    <row r="190" spans="1:25" ht="14.45" customHeight="1">
      <c r="A190" s="513"/>
      <c r="B190" s="522"/>
      <c r="C190" s="531"/>
      <c r="D190" s="522"/>
      <c r="E190" s="3396"/>
      <c r="F190" s="2592" t="s">
        <v>1029</v>
      </c>
      <c r="G190" s="2593"/>
      <c r="H190" s="2594"/>
      <c r="I190" s="2594"/>
      <c r="J190" s="2594"/>
      <c r="K190" s="2594"/>
      <c r="L190" s="2595"/>
      <c r="M190" s="2594"/>
      <c r="N190" s="2596"/>
      <c r="O190" s="2596"/>
      <c r="P190" s="2597">
        <f>SUM(P191)</f>
        <v>600000</v>
      </c>
      <c r="Q190" s="653">
        <f>P190</f>
        <v>600000</v>
      </c>
      <c r="R190" s="1755">
        <v>600000</v>
      </c>
      <c r="S190" s="2598">
        <f>Q190-R190</f>
        <v>0</v>
      </c>
      <c r="T190" s="2649">
        <f>S190/R190</f>
        <v>0</v>
      </c>
      <c r="X190" s="2739"/>
    </row>
    <row r="191" spans="1:25" ht="14.45" customHeight="1">
      <c r="A191" s="513"/>
      <c r="B191" s="522"/>
      <c r="C191" s="531"/>
      <c r="D191" s="522"/>
      <c r="E191" s="551"/>
      <c r="F191" s="2662" t="s">
        <v>1030</v>
      </c>
      <c r="G191" s="2692">
        <v>150000</v>
      </c>
      <c r="H191" s="2674" t="s">
        <v>21</v>
      </c>
      <c r="I191" s="2722">
        <v>1</v>
      </c>
      <c r="J191" s="2674" t="s">
        <v>21</v>
      </c>
      <c r="K191" s="2741">
        <v>4</v>
      </c>
      <c r="L191" s="2677"/>
      <c r="M191" s="2676"/>
      <c r="N191" s="2678"/>
      <c r="O191" s="2678" t="s">
        <v>22</v>
      </c>
      <c r="P191" s="2081">
        <f t="shared" ref="P191" si="8">PRODUCT(G191:N191)</f>
        <v>600000</v>
      </c>
      <c r="Q191" s="2669"/>
      <c r="R191" s="2669"/>
      <c r="S191" s="2670"/>
      <c r="T191" s="2671"/>
      <c r="X191" s="2739"/>
    </row>
    <row r="192" spans="1:25" ht="14.45" customHeight="1">
      <c r="A192" s="513"/>
      <c r="B192" s="522"/>
      <c r="C192" s="531"/>
      <c r="D192" s="522"/>
      <c r="E192" s="3637" t="s">
        <v>2997</v>
      </c>
      <c r="F192" s="3638"/>
      <c r="G192" s="3638"/>
      <c r="H192" s="3638"/>
      <c r="I192" s="3638"/>
      <c r="J192" s="3638"/>
      <c r="K192" s="3638"/>
      <c r="L192" s="3638"/>
      <c r="M192" s="3638"/>
      <c r="N192" s="3638"/>
      <c r="O192" s="3638"/>
      <c r="P192" s="3639"/>
      <c r="Q192" s="2680">
        <f>P193</f>
        <v>15000000</v>
      </c>
      <c r="R192" s="2680">
        <v>15000000</v>
      </c>
      <c r="S192" s="2681">
        <f>Q192-R192</f>
        <v>0</v>
      </c>
      <c r="T192" s="2682">
        <f>S192/R192</f>
        <v>0</v>
      </c>
      <c r="X192" s="2739"/>
    </row>
    <row r="193" spans="1:24" ht="14.45" customHeight="1">
      <c r="A193" s="513"/>
      <c r="B193" s="522"/>
      <c r="C193" s="531"/>
      <c r="D193" s="522"/>
      <c r="E193" s="3273"/>
      <c r="F193" s="2592" t="s">
        <v>2317</v>
      </c>
      <c r="G193" s="2593"/>
      <c r="H193" s="2594"/>
      <c r="I193" s="2594"/>
      <c r="J193" s="2594"/>
      <c r="K193" s="2594"/>
      <c r="L193" s="2595"/>
      <c r="M193" s="2594"/>
      <c r="N193" s="2596"/>
      <c r="O193" s="2596"/>
      <c r="P193" s="2597">
        <f>SUM(P194)</f>
        <v>15000000</v>
      </c>
      <c r="Q193" s="653">
        <f>P193</f>
        <v>15000000</v>
      </c>
      <c r="R193" s="1755">
        <v>15000000</v>
      </c>
      <c r="S193" s="2598">
        <f>Q193-R193</f>
        <v>0</v>
      </c>
      <c r="T193" s="2649">
        <f>S193/R193</f>
        <v>0</v>
      </c>
      <c r="U193" s="2739"/>
      <c r="X193" s="2739"/>
    </row>
    <row r="194" spans="1:24" ht="14.45" customHeight="1">
      <c r="A194" s="513"/>
      <c r="B194" s="522"/>
      <c r="C194" s="531"/>
      <c r="D194" s="522"/>
      <c r="E194" s="3276"/>
      <c r="F194" s="2740" t="s">
        <v>2961</v>
      </c>
      <c r="G194" s="2683">
        <v>15000000</v>
      </c>
      <c r="H194" s="2684" t="s">
        <v>21</v>
      </c>
      <c r="I194" s="2698">
        <v>1</v>
      </c>
      <c r="J194" s="2684"/>
      <c r="K194" s="2698"/>
      <c r="L194" s="2688"/>
      <c r="M194" s="2687"/>
      <c r="N194" s="2689"/>
      <c r="O194" s="2689" t="s">
        <v>22</v>
      </c>
      <c r="P194" s="2065">
        <f t="shared" ref="P194" si="9">PRODUCT(G194:N194)</f>
        <v>15000000</v>
      </c>
      <c r="Q194" s="2194"/>
      <c r="R194" s="2194"/>
      <c r="S194" s="2609"/>
      <c r="T194" s="2610"/>
    </row>
    <row r="195" spans="1:24" ht="14.45" customHeight="1">
      <c r="A195" s="513"/>
      <c r="B195" s="522"/>
      <c r="C195" s="531"/>
      <c r="D195" s="2263" t="s">
        <v>115</v>
      </c>
      <c r="E195" s="3387"/>
      <c r="F195" s="2586"/>
      <c r="G195" s="2587"/>
      <c r="H195" s="2263"/>
      <c r="I195" s="2263"/>
      <c r="J195" s="2263"/>
      <c r="K195" s="2263"/>
      <c r="L195" s="2585"/>
      <c r="M195" s="2263"/>
      <c r="N195" s="2588"/>
      <c r="O195" s="2588"/>
      <c r="P195" s="2263"/>
      <c r="Q195" s="2589">
        <f>Q196</f>
        <v>6200000</v>
      </c>
      <c r="R195" s="2589">
        <f>R196</f>
        <v>39022000</v>
      </c>
      <c r="S195" s="2590">
        <f>Q195-R195</f>
        <v>-32822000</v>
      </c>
      <c r="T195" s="2652">
        <f>S195/R195</f>
        <v>-0.84111526831018402</v>
      </c>
    </row>
    <row r="196" spans="1:24" ht="14.45" customHeight="1">
      <c r="A196" s="2661"/>
      <c r="B196" s="551"/>
      <c r="C196" s="515"/>
      <c r="D196" s="551"/>
      <c r="E196" s="3637" t="s">
        <v>3027</v>
      </c>
      <c r="F196" s="3638"/>
      <c r="G196" s="3638"/>
      <c r="H196" s="3638"/>
      <c r="I196" s="3638"/>
      <c r="J196" s="3638"/>
      <c r="K196" s="3638"/>
      <c r="L196" s="3638"/>
      <c r="M196" s="3638"/>
      <c r="N196" s="3638"/>
      <c r="O196" s="3638"/>
      <c r="P196" s="3639"/>
      <c r="Q196" s="540">
        <f>P197</f>
        <v>6200000</v>
      </c>
      <c r="R196" s="540">
        <v>39022000</v>
      </c>
      <c r="S196" s="541">
        <f>Q196-R196</f>
        <v>-32822000</v>
      </c>
      <c r="T196" s="542">
        <f>S196/R196</f>
        <v>-0.84111526831018402</v>
      </c>
    </row>
    <row r="197" spans="1:24" ht="14.45" customHeight="1">
      <c r="A197" s="513"/>
      <c r="B197" s="522"/>
      <c r="C197" s="531"/>
      <c r="D197" s="522"/>
      <c r="F197" s="2592" t="s">
        <v>1032</v>
      </c>
      <c r="G197" s="2593"/>
      <c r="H197" s="2594"/>
      <c r="I197" s="2594"/>
      <c r="J197" s="2594"/>
      <c r="K197" s="2594"/>
      <c r="L197" s="2595"/>
      <c r="M197" s="2594"/>
      <c r="N197" s="2596"/>
      <c r="O197" s="2596"/>
      <c r="P197" s="2597">
        <f>P198</f>
        <v>6200000</v>
      </c>
      <c r="Q197" s="653">
        <f>P197</f>
        <v>6200000</v>
      </c>
      <c r="R197" s="1755">
        <v>39022000</v>
      </c>
      <c r="S197" s="2598">
        <f>Q197-R197</f>
        <v>-32822000</v>
      </c>
      <c r="T197" s="2649">
        <f>S197/R197</f>
        <v>-0.84111526831018402</v>
      </c>
      <c r="V197" s="2637"/>
    </row>
    <row r="198" spans="1:24" ht="14.45" customHeight="1">
      <c r="A198" s="513"/>
      <c r="B198" s="522"/>
      <c r="C198" s="531"/>
      <c r="D198" s="522"/>
      <c r="F198" s="2742" t="s">
        <v>116</v>
      </c>
      <c r="G198" s="2743"/>
      <c r="H198" s="531"/>
      <c r="I198" s="2744"/>
      <c r="J198" s="531"/>
      <c r="K198" s="2745"/>
      <c r="L198" s="2746"/>
      <c r="M198" s="2745"/>
      <c r="N198" s="2747"/>
      <c r="O198" s="2747"/>
      <c r="P198" s="2748">
        <f>SUM(P199:P200)</f>
        <v>6200000</v>
      </c>
      <c r="Q198" s="557"/>
      <c r="R198" s="557"/>
      <c r="S198" s="558"/>
      <c r="T198" s="559"/>
    </row>
    <row r="199" spans="1:24" ht="14.45" customHeight="1">
      <c r="A199" s="513"/>
      <c r="B199" s="522"/>
      <c r="C199" s="531"/>
      <c r="D199" s="522"/>
      <c r="F199" s="2742" t="s">
        <v>117</v>
      </c>
      <c r="G199" s="2248">
        <v>1200000</v>
      </c>
      <c r="H199" s="2249" t="s">
        <v>21</v>
      </c>
      <c r="I199" s="2749">
        <v>1</v>
      </c>
      <c r="J199" s="2249"/>
      <c r="K199" s="2249"/>
      <c r="L199" s="2730"/>
      <c r="M199" s="2249"/>
      <c r="N199" s="2253"/>
      <c r="O199" s="2253" t="s">
        <v>22</v>
      </c>
      <c r="P199" s="2112">
        <f>G199*I199</f>
        <v>1200000</v>
      </c>
      <c r="Q199" s="557"/>
      <c r="R199" s="557"/>
      <c r="S199" s="558"/>
      <c r="T199" s="559"/>
    </row>
    <row r="200" spans="1:24" ht="14.45" customHeight="1">
      <c r="A200" s="513"/>
      <c r="B200" s="522"/>
      <c r="C200" s="531"/>
      <c r="D200" s="522"/>
      <c r="F200" s="2742" t="s">
        <v>1031</v>
      </c>
      <c r="G200" s="2248">
        <v>5000000</v>
      </c>
      <c r="H200" s="2249" t="s">
        <v>21</v>
      </c>
      <c r="I200" s="2749">
        <v>1</v>
      </c>
      <c r="J200" s="2249"/>
      <c r="K200" s="2249"/>
      <c r="L200" s="2730"/>
      <c r="M200" s="2249"/>
      <c r="N200" s="2253"/>
      <c r="O200" s="2253" t="s">
        <v>22</v>
      </c>
      <c r="P200" s="2065">
        <f t="shared" ref="P200" si="10">PRODUCT(G200:N200)</f>
        <v>5000000</v>
      </c>
      <c r="Q200" s="557"/>
      <c r="R200" s="557"/>
      <c r="S200" s="558"/>
      <c r="T200" s="559"/>
    </row>
    <row r="201" spans="1:24" ht="14.45" customHeight="1">
      <c r="A201" s="513"/>
      <c r="B201" s="522"/>
      <c r="C201" s="531"/>
      <c r="D201" s="2263" t="s">
        <v>118</v>
      </c>
      <c r="E201" s="3387"/>
      <c r="F201" s="2586"/>
      <c r="G201" s="2587"/>
      <c r="H201" s="2263"/>
      <c r="I201" s="2263"/>
      <c r="J201" s="2263"/>
      <c r="K201" s="2263"/>
      <c r="L201" s="2585"/>
      <c r="M201" s="2263"/>
      <c r="N201" s="2588"/>
      <c r="O201" s="2588"/>
      <c r="P201" s="2263"/>
      <c r="Q201" s="2589">
        <f>Q202</f>
        <v>91448000</v>
      </c>
      <c r="R201" s="2589">
        <f>R202</f>
        <v>91448000</v>
      </c>
      <c r="S201" s="2590">
        <f>Q201-R201</f>
        <v>0</v>
      </c>
      <c r="T201" s="2652">
        <f>S201/R201</f>
        <v>0</v>
      </c>
    </row>
    <row r="202" spans="1:24" ht="14.45" customHeight="1">
      <c r="A202" s="513"/>
      <c r="B202" s="522"/>
      <c r="C202" s="531"/>
      <c r="D202" s="522"/>
      <c r="E202" s="3637" t="s">
        <v>3026</v>
      </c>
      <c r="F202" s="3638"/>
      <c r="G202" s="3638"/>
      <c r="H202" s="3638"/>
      <c r="I202" s="3638"/>
      <c r="J202" s="3638"/>
      <c r="K202" s="3638"/>
      <c r="L202" s="3638"/>
      <c r="M202" s="3638"/>
      <c r="N202" s="3638"/>
      <c r="O202" s="3638"/>
      <c r="P202" s="3639"/>
      <c r="Q202" s="540">
        <f>P203</f>
        <v>91448000</v>
      </c>
      <c r="R202" s="540">
        <v>91448000</v>
      </c>
      <c r="S202" s="541">
        <f>Q202-R202</f>
        <v>0</v>
      </c>
      <c r="T202" s="542">
        <f>S202/R202</f>
        <v>0</v>
      </c>
    </row>
    <row r="203" spans="1:24" ht="14.45" customHeight="1">
      <c r="A203" s="513"/>
      <c r="B203" s="522"/>
      <c r="C203" s="531"/>
      <c r="D203" s="522"/>
      <c r="F203" s="2529" t="s">
        <v>1033</v>
      </c>
      <c r="G203" s="2708"/>
      <c r="H203" s="2709"/>
      <c r="I203" s="2709"/>
      <c r="J203" s="2709"/>
      <c r="K203" s="2709"/>
      <c r="L203" s="2710"/>
      <c r="M203" s="2709"/>
      <c r="N203" s="2711"/>
      <c r="O203" s="2711"/>
      <c r="P203" s="2712">
        <f>SUM(P204:P205)</f>
        <v>91448000</v>
      </c>
      <c r="Q203" s="653">
        <f>P203</f>
        <v>91448000</v>
      </c>
      <c r="R203" s="2750">
        <v>91448000</v>
      </c>
      <c r="S203" s="2598">
        <f>Q203-R203</f>
        <v>0</v>
      </c>
      <c r="T203" s="2649">
        <f>S203/R203</f>
        <v>0</v>
      </c>
    </row>
    <row r="204" spans="1:24" ht="14.45" customHeight="1">
      <c r="A204" s="513"/>
      <c r="B204" s="522"/>
      <c r="C204" s="531"/>
      <c r="D204" s="522"/>
      <c r="E204" s="3388"/>
      <c r="F204" s="2231" t="s">
        <v>1034</v>
      </c>
      <c r="G204" s="2479">
        <v>2635500</v>
      </c>
      <c r="H204" s="2190" t="s">
        <v>21</v>
      </c>
      <c r="I204" s="2751">
        <v>2</v>
      </c>
      <c r="J204" s="2752"/>
      <c r="K204" s="663"/>
      <c r="L204" s="2191"/>
      <c r="M204" s="663"/>
      <c r="N204" s="2192"/>
      <c r="O204" s="2192" t="s">
        <v>22</v>
      </c>
      <c r="P204" s="2112">
        <f>PRODUCT(G204:N204)</f>
        <v>5271000</v>
      </c>
      <c r="Q204" s="2753"/>
      <c r="R204" s="2753"/>
      <c r="S204" s="2754"/>
      <c r="T204" s="2755"/>
    </row>
    <row r="205" spans="1:24" ht="14.45" customHeight="1">
      <c r="A205" s="513"/>
      <c r="B205" s="522"/>
      <c r="C205" s="531"/>
      <c r="D205" s="522"/>
      <c r="E205" s="3388"/>
      <c r="F205" s="2231" t="s">
        <v>1035</v>
      </c>
      <c r="G205" s="2479">
        <v>1665256</v>
      </c>
      <c r="H205" s="2190" t="s">
        <v>21</v>
      </c>
      <c r="I205" s="2751">
        <v>1.1499999999999999</v>
      </c>
      <c r="J205" s="2190" t="s">
        <v>21</v>
      </c>
      <c r="K205" s="660">
        <v>45</v>
      </c>
      <c r="L205" s="2191"/>
      <c r="M205" s="663"/>
      <c r="N205" s="2192"/>
      <c r="O205" s="2192" t="s">
        <v>22</v>
      </c>
      <c r="P205" s="2193">
        <f>ROUNDUP(G205*I205*K205,-3)</f>
        <v>86177000</v>
      </c>
      <c r="Q205" s="2753"/>
      <c r="R205" s="2753"/>
      <c r="S205" s="2754"/>
      <c r="T205" s="2755"/>
    </row>
    <row r="206" spans="1:24" ht="14.45" customHeight="1">
      <c r="A206" s="513"/>
      <c r="B206" s="522"/>
      <c r="C206" s="3634" t="s">
        <v>119</v>
      </c>
      <c r="D206" s="3635"/>
      <c r="E206" s="3635"/>
      <c r="F206" s="3635"/>
      <c r="G206" s="3635"/>
      <c r="H206" s="3635"/>
      <c r="I206" s="3635"/>
      <c r="J206" s="3635"/>
      <c r="K206" s="3635"/>
      <c r="L206" s="3635"/>
      <c r="M206" s="3635"/>
      <c r="N206" s="3635"/>
      <c r="O206" s="3635"/>
      <c r="P206" s="3636"/>
      <c r="Q206" s="528">
        <f>Q207+Q214</f>
        <v>928000000</v>
      </c>
      <c r="R206" s="528">
        <f>R207+R214</f>
        <v>999780000</v>
      </c>
      <c r="S206" s="529">
        <f>Q206-R206</f>
        <v>-71780000</v>
      </c>
      <c r="T206" s="530">
        <f>S206/R206</f>
        <v>-7.1795795074916485E-2</v>
      </c>
    </row>
    <row r="207" spans="1:24" ht="14.45" customHeight="1">
      <c r="A207" s="513"/>
      <c r="B207" s="522"/>
      <c r="C207" s="531"/>
      <c r="D207" s="532" t="s">
        <v>120</v>
      </c>
      <c r="E207" s="3275"/>
      <c r="F207" s="533"/>
      <c r="G207" s="534"/>
      <c r="H207" s="533"/>
      <c r="I207" s="533"/>
      <c r="J207" s="533"/>
      <c r="K207" s="533"/>
      <c r="L207" s="1737"/>
      <c r="M207" s="533"/>
      <c r="N207" s="535"/>
      <c r="O207" s="535"/>
      <c r="P207" s="533"/>
      <c r="Q207" s="536">
        <f>Q208</f>
        <v>0</v>
      </c>
      <c r="R207" s="536">
        <f>SUM(R208)</f>
        <v>2800000</v>
      </c>
      <c r="S207" s="537">
        <f>Q207-R207</f>
        <v>-2800000</v>
      </c>
      <c r="T207" s="538">
        <f>S207/R207</f>
        <v>-1</v>
      </c>
    </row>
    <row r="208" spans="1:24" ht="14.45" customHeight="1">
      <c r="A208" s="513"/>
      <c r="B208" s="522"/>
      <c r="C208" s="531"/>
      <c r="D208" s="539"/>
      <c r="E208" s="3637" t="s">
        <v>256</v>
      </c>
      <c r="F208" s="3638"/>
      <c r="G208" s="3638"/>
      <c r="H208" s="3638"/>
      <c r="I208" s="3638"/>
      <c r="J208" s="3638"/>
      <c r="K208" s="3638"/>
      <c r="L208" s="3638"/>
      <c r="M208" s="3638"/>
      <c r="N208" s="3638"/>
      <c r="O208" s="3638"/>
      <c r="P208" s="3639"/>
      <c r="Q208" s="540">
        <f>P209+P211</f>
        <v>0</v>
      </c>
      <c r="R208" s="540">
        <v>2800000</v>
      </c>
      <c r="S208" s="541">
        <f>Q208-R208</f>
        <v>-2800000</v>
      </c>
      <c r="T208" s="542">
        <f>S208/R208</f>
        <v>-1</v>
      </c>
    </row>
    <row r="209" spans="1:22" ht="14.45" hidden="1" customHeight="1">
      <c r="A209" s="513"/>
      <c r="B209" s="522"/>
      <c r="C209" s="531"/>
      <c r="D209" s="522"/>
      <c r="E209" s="3273"/>
      <c r="F209" s="560"/>
      <c r="G209" s="2756"/>
      <c r="H209" s="531"/>
      <c r="I209" s="531"/>
      <c r="J209" s="531"/>
      <c r="K209" s="531"/>
      <c r="L209" s="2757"/>
      <c r="M209" s="531"/>
      <c r="N209" s="2747"/>
      <c r="O209" s="2747"/>
      <c r="P209" s="2758"/>
      <c r="Q209" s="2759"/>
      <c r="R209" s="2759"/>
      <c r="S209" s="2760"/>
      <c r="T209" s="2761"/>
    </row>
    <row r="210" spans="1:22" ht="14.45" hidden="1" customHeight="1">
      <c r="A210" s="513"/>
      <c r="B210" s="522"/>
      <c r="C210" s="531"/>
      <c r="D210" s="522"/>
      <c r="E210" s="3273"/>
      <c r="F210" s="565"/>
      <c r="G210" s="566"/>
      <c r="H210" s="567"/>
      <c r="I210" s="568"/>
      <c r="J210" s="567"/>
      <c r="K210" s="567"/>
      <c r="L210" s="2762"/>
      <c r="M210" s="567"/>
      <c r="N210" s="569"/>
      <c r="O210" s="569"/>
      <c r="P210" s="570"/>
      <c r="Q210" s="2759"/>
      <c r="R210" s="2759"/>
      <c r="S210" s="2760"/>
      <c r="T210" s="2761"/>
    </row>
    <row r="211" spans="1:22" ht="14.45" hidden="1" customHeight="1">
      <c r="A211" s="513"/>
      <c r="B211" s="522"/>
      <c r="C211" s="531"/>
      <c r="D211" s="522"/>
      <c r="E211" s="3273"/>
      <c r="F211" s="560"/>
      <c r="G211" s="2756"/>
      <c r="H211" s="531"/>
      <c r="I211" s="531"/>
      <c r="J211" s="531"/>
      <c r="K211" s="531"/>
      <c r="L211" s="2757"/>
      <c r="M211" s="531"/>
      <c r="N211" s="2747"/>
      <c r="O211" s="2747"/>
      <c r="P211" s="2758"/>
      <c r="Q211" s="2759"/>
      <c r="R211" s="2759"/>
      <c r="S211" s="2760"/>
      <c r="T211" s="2761"/>
    </row>
    <row r="212" spans="1:22" ht="14.45" hidden="1" customHeight="1">
      <c r="A212" s="513"/>
      <c r="B212" s="522"/>
      <c r="C212" s="531"/>
      <c r="D212" s="522"/>
      <c r="E212" s="3273"/>
      <c r="F212" s="565"/>
      <c r="G212" s="566"/>
      <c r="H212" s="567"/>
      <c r="I212" s="568"/>
      <c r="J212" s="567"/>
      <c r="K212" s="567"/>
      <c r="L212" s="2762"/>
      <c r="M212" s="567"/>
      <c r="N212" s="569"/>
      <c r="O212" s="569"/>
      <c r="P212" s="570"/>
      <c r="Q212" s="2759"/>
      <c r="R212" s="2759"/>
      <c r="S212" s="2760"/>
      <c r="T212" s="2761"/>
    </row>
    <row r="213" spans="1:22" ht="14.45" hidden="1" customHeight="1">
      <c r="A213" s="513"/>
      <c r="B213" s="522"/>
      <c r="C213" s="531"/>
      <c r="D213" s="522"/>
      <c r="E213" s="3273"/>
      <c r="F213" s="565"/>
      <c r="G213" s="566"/>
      <c r="H213" s="567"/>
      <c r="I213" s="568"/>
      <c r="J213" s="567"/>
      <c r="K213" s="567"/>
      <c r="L213" s="2762"/>
      <c r="M213" s="567"/>
      <c r="N213" s="569"/>
      <c r="O213" s="569"/>
      <c r="P213" s="570"/>
      <c r="Q213" s="2759"/>
      <c r="R213" s="2759"/>
      <c r="S213" s="2760"/>
      <c r="T213" s="2761"/>
    </row>
    <row r="214" spans="1:22" ht="14.45" customHeight="1">
      <c r="A214" s="513"/>
      <c r="B214" s="522"/>
      <c r="C214" s="531"/>
      <c r="D214" s="532" t="s">
        <v>121</v>
      </c>
      <c r="E214" s="3275"/>
      <c r="F214" s="2763"/>
      <c r="G214" s="534"/>
      <c r="H214" s="533"/>
      <c r="I214" s="533"/>
      <c r="J214" s="533"/>
      <c r="K214" s="533"/>
      <c r="L214" s="1737"/>
      <c r="M214" s="533"/>
      <c r="N214" s="535"/>
      <c r="O214" s="535"/>
      <c r="P214" s="533"/>
      <c r="Q214" s="536">
        <f>Q215+Q244+Q307</f>
        <v>928000000</v>
      </c>
      <c r="R214" s="536">
        <f>R215+R244</f>
        <v>996980000</v>
      </c>
      <c r="S214" s="537">
        <f>Q214-R214</f>
        <v>-68980000</v>
      </c>
      <c r="T214" s="538">
        <f>S214/R214</f>
        <v>-6.9188950630905341E-2</v>
      </c>
    </row>
    <row r="215" spans="1:22" ht="14.45" customHeight="1">
      <c r="A215" s="513"/>
      <c r="B215" s="522"/>
      <c r="C215" s="531"/>
      <c r="D215" s="539"/>
      <c r="E215" s="3637" t="s">
        <v>2947</v>
      </c>
      <c r="F215" s="3638"/>
      <c r="G215" s="3638"/>
      <c r="H215" s="3638"/>
      <c r="I215" s="3638"/>
      <c r="J215" s="3638"/>
      <c r="K215" s="3638"/>
      <c r="L215" s="3638"/>
      <c r="M215" s="3638"/>
      <c r="N215" s="3638"/>
      <c r="O215" s="3638"/>
      <c r="P215" s="3639"/>
      <c r="Q215" s="540">
        <f>P216+P220+P226+P230+P235</f>
        <v>62000000</v>
      </c>
      <c r="R215" s="540">
        <f>R216+R220+R226+R230+R235+R243</f>
        <v>66200000</v>
      </c>
      <c r="S215" s="541">
        <f>Q215-R215</f>
        <v>-4200000</v>
      </c>
      <c r="T215" s="542">
        <f>S215/R215</f>
        <v>-6.3444108761329304E-2</v>
      </c>
    </row>
    <row r="216" spans="1:22" s="2772" customFormat="1" ht="14.45" customHeight="1">
      <c r="A216" s="513"/>
      <c r="B216" s="522"/>
      <c r="C216" s="567"/>
      <c r="D216" s="2764"/>
      <c r="E216" s="3397"/>
      <c r="F216" s="2765" t="s">
        <v>1043</v>
      </c>
      <c r="G216" s="686"/>
      <c r="H216" s="2766"/>
      <c r="I216" s="2767"/>
      <c r="J216" s="2766"/>
      <c r="K216" s="2767"/>
      <c r="L216" s="2768"/>
      <c r="M216" s="2766"/>
      <c r="N216" s="2769"/>
      <c r="O216" s="2770"/>
      <c r="P216" s="2771">
        <f>SUM(P217:P219)</f>
        <v>3000000</v>
      </c>
      <c r="Q216" s="653">
        <f>P216</f>
        <v>3000000</v>
      </c>
      <c r="R216" s="653">
        <v>6000000</v>
      </c>
      <c r="S216" s="2598">
        <f>Q216-R216</f>
        <v>-3000000</v>
      </c>
      <c r="T216" s="2649">
        <f>S216/R216</f>
        <v>-0.5</v>
      </c>
    </row>
    <row r="217" spans="1:22" s="2772" customFormat="1" ht="14.45" customHeight="1">
      <c r="A217" s="513"/>
      <c r="B217" s="522"/>
      <c r="C217" s="567"/>
      <c r="D217" s="2764"/>
      <c r="E217" s="3397"/>
      <c r="F217" s="2773" t="s">
        <v>1044</v>
      </c>
      <c r="G217" s="702">
        <v>500000</v>
      </c>
      <c r="H217" s="2774" t="s">
        <v>21</v>
      </c>
      <c r="I217" s="2775">
        <v>1</v>
      </c>
      <c r="J217" s="2774"/>
      <c r="K217" s="2776"/>
      <c r="L217" s="2777"/>
      <c r="M217" s="2774"/>
      <c r="N217" s="2778"/>
      <c r="O217" s="2779" t="s">
        <v>1041</v>
      </c>
      <c r="P217" s="2065">
        <f t="shared" ref="P217:P219" si="11">PRODUCT(G217:N217)</f>
        <v>500000</v>
      </c>
      <c r="Q217" s="694"/>
      <c r="R217" s="694"/>
      <c r="S217" s="695"/>
      <c r="T217" s="2780"/>
    </row>
    <row r="218" spans="1:22" s="2772" customFormat="1" ht="14.45" customHeight="1">
      <c r="A218" s="513"/>
      <c r="B218" s="522"/>
      <c r="C218" s="567"/>
      <c r="D218" s="2764"/>
      <c r="E218" s="3397"/>
      <c r="F218" s="2773" t="s">
        <v>1045</v>
      </c>
      <c r="G218" s="702">
        <v>1000000</v>
      </c>
      <c r="H218" s="2774" t="s">
        <v>21</v>
      </c>
      <c r="I218" s="2775">
        <v>1</v>
      </c>
      <c r="J218" s="2774"/>
      <c r="K218" s="2776"/>
      <c r="L218" s="2777"/>
      <c r="M218" s="2774"/>
      <c r="N218" s="2778"/>
      <c r="O218" s="2779" t="s">
        <v>1041</v>
      </c>
      <c r="P218" s="2065">
        <f t="shared" si="11"/>
        <v>1000000</v>
      </c>
      <c r="Q218" s="694"/>
      <c r="R218" s="694"/>
      <c r="S218" s="695"/>
      <c r="T218" s="2780"/>
      <c r="V218" s="2781"/>
    </row>
    <row r="219" spans="1:22" s="2772" customFormat="1" ht="14.45" customHeight="1">
      <c r="A219" s="513"/>
      <c r="B219" s="522"/>
      <c r="C219" s="567"/>
      <c r="D219" s="2764"/>
      <c r="E219" s="3397"/>
      <c r="F219" s="2782" t="s">
        <v>1046</v>
      </c>
      <c r="G219" s="702">
        <v>500000</v>
      </c>
      <c r="H219" s="2774" t="s">
        <v>21</v>
      </c>
      <c r="I219" s="2775">
        <v>3</v>
      </c>
      <c r="J219" s="2774"/>
      <c r="K219" s="2776"/>
      <c r="L219" s="2777"/>
      <c r="M219" s="2774"/>
      <c r="N219" s="2778"/>
      <c r="O219" s="2779" t="s">
        <v>1041</v>
      </c>
      <c r="P219" s="2065">
        <f t="shared" si="11"/>
        <v>1500000</v>
      </c>
      <c r="Q219" s="694"/>
      <c r="R219" s="694"/>
      <c r="S219" s="695"/>
      <c r="T219" s="2780"/>
    </row>
    <row r="220" spans="1:22" s="2772" customFormat="1" ht="14.45" customHeight="1">
      <c r="A220" s="513"/>
      <c r="B220" s="522"/>
      <c r="C220" s="567"/>
      <c r="D220" s="2764"/>
      <c r="E220" s="3397"/>
      <c r="F220" s="2765" t="s">
        <v>1047</v>
      </c>
      <c r="G220" s="686"/>
      <c r="H220" s="2766"/>
      <c r="I220" s="2767"/>
      <c r="J220" s="2766"/>
      <c r="K220" s="2767"/>
      <c r="L220" s="2768"/>
      <c r="M220" s="2766"/>
      <c r="N220" s="2769"/>
      <c r="O220" s="2770"/>
      <c r="P220" s="2771">
        <f>SUM(P221:P225)</f>
        <v>13000000</v>
      </c>
      <c r="Q220" s="653">
        <f>P220</f>
        <v>13000000</v>
      </c>
      <c r="R220" s="653">
        <v>15000000</v>
      </c>
      <c r="S220" s="2598">
        <f>Q220-R220</f>
        <v>-2000000</v>
      </c>
      <c r="T220" s="2649">
        <f>S220/R220</f>
        <v>-0.13333333333333333</v>
      </c>
    </row>
    <row r="221" spans="1:22" s="2772" customFormat="1" ht="14.45" customHeight="1">
      <c r="A221" s="513"/>
      <c r="B221" s="522"/>
      <c r="C221" s="567"/>
      <c r="D221" s="2764"/>
      <c r="E221" s="3397"/>
      <c r="F221" s="2773" t="s">
        <v>1048</v>
      </c>
      <c r="G221" s="702">
        <v>1000000</v>
      </c>
      <c r="H221" s="2774" t="s">
        <v>21</v>
      </c>
      <c r="I221" s="2775">
        <v>2</v>
      </c>
      <c r="J221" s="2774"/>
      <c r="K221" s="2776"/>
      <c r="L221" s="2777"/>
      <c r="M221" s="2774"/>
      <c r="N221" s="2778"/>
      <c r="O221" s="2779" t="s">
        <v>1049</v>
      </c>
      <c r="P221" s="2065">
        <f t="shared" ref="P221:P225" si="12">PRODUCT(G221:N221)</f>
        <v>2000000</v>
      </c>
      <c r="Q221" s="694"/>
      <c r="R221" s="694"/>
      <c r="S221" s="695"/>
      <c r="T221" s="2780"/>
    </row>
    <row r="222" spans="1:22" s="2772" customFormat="1" ht="14.45" customHeight="1">
      <c r="A222" s="513"/>
      <c r="B222" s="522"/>
      <c r="C222" s="567"/>
      <c r="D222" s="2764"/>
      <c r="E222" s="3397"/>
      <c r="F222" s="2773" t="s">
        <v>1050</v>
      </c>
      <c r="G222" s="702">
        <v>3500000</v>
      </c>
      <c r="H222" s="2774" t="s">
        <v>21</v>
      </c>
      <c r="I222" s="2775">
        <v>1</v>
      </c>
      <c r="J222" s="2774"/>
      <c r="K222" s="2776"/>
      <c r="L222" s="2777"/>
      <c r="M222" s="2774"/>
      <c r="N222" s="2778"/>
      <c r="O222" s="2779" t="s">
        <v>1049</v>
      </c>
      <c r="P222" s="2065">
        <f t="shared" si="12"/>
        <v>3500000</v>
      </c>
      <c r="Q222" s="694"/>
      <c r="R222" s="694"/>
      <c r="S222" s="695"/>
      <c r="T222" s="2780"/>
    </row>
    <row r="223" spans="1:22" s="2772" customFormat="1" ht="14.45" customHeight="1">
      <c r="A223" s="513"/>
      <c r="B223" s="522"/>
      <c r="C223" s="567"/>
      <c r="D223" s="2764"/>
      <c r="E223" s="3397"/>
      <c r="F223" s="2773" t="s">
        <v>1051</v>
      </c>
      <c r="G223" s="702">
        <v>3000000</v>
      </c>
      <c r="H223" s="2774" t="s">
        <v>21</v>
      </c>
      <c r="I223" s="2775">
        <v>1</v>
      </c>
      <c r="J223" s="2774"/>
      <c r="K223" s="2776"/>
      <c r="L223" s="2777"/>
      <c r="M223" s="2774"/>
      <c r="N223" s="2778"/>
      <c r="O223" s="2779" t="s">
        <v>1049</v>
      </c>
      <c r="P223" s="2065">
        <f t="shared" si="12"/>
        <v>3000000</v>
      </c>
      <c r="Q223" s="694"/>
      <c r="R223" s="694"/>
      <c r="S223" s="695"/>
      <c r="T223" s="2780"/>
    </row>
    <row r="224" spans="1:22" s="2772" customFormat="1" ht="14.45" customHeight="1">
      <c r="A224" s="2783"/>
      <c r="B224" s="2764"/>
      <c r="C224" s="567"/>
      <c r="D224" s="2764"/>
      <c r="E224" s="3397"/>
      <c r="F224" s="2773" t="s">
        <v>1052</v>
      </c>
      <c r="G224" s="702">
        <v>500000</v>
      </c>
      <c r="H224" s="2774" t="s">
        <v>21</v>
      </c>
      <c r="I224" s="2775">
        <v>6</v>
      </c>
      <c r="J224" s="2774"/>
      <c r="K224" s="2776"/>
      <c r="L224" s="2777"/>
      <c r="M224" s="2774"/>
      <c r="N224" s="2778"/>
      <c r="O224" s="2779" t="s">
        <v>1049</v>
      </c>
      <c r="P224" s="2065">
        <f t="shared" si="12"/>
        <v>3000000</v>
      </c>
      <c r="Q224" s="694"/>
      <c r="R224" s="694"/>
      <c r="S224" s="695"/>
      <c r="T224" s="2780"/>
    </row>
    <row r="225" spans="1:20" s="2772" customFormat="1" ht="14.45" customHeight="1">
      <c r="A225" s="2783"/>
      <c r="B225" s="2764"/>
      <c r="C225" s="567"/>
      <c r="D225" s="2764"/>
      <c r="E225" s="3397"/>
      <c r="F225" s="2782" t="s">
        <v>1053</v>
      </c>
      <c r="G225" s="702">
        <v>1500000</v>
      </c>
      <c r="H225" s="2774" t="s">
        <v>21</v>
      </c>
      <c r="I225" s="2775">
        <v>1</v>
      </c>
      <c r="J225" s="2774"/>
      <c r="K225" s="2776"/>
      <c r="L225" s="2777"/>
      <c r="M225" s="2774"/>
      <c r="N225" s="2778"/>
      <c r="O225" s="2779" t="s">
        <v>1049</v>
      </c>
      <c r="P225" s="2065">
        <f t="shared" si="12"/>
        <v>1500000</v>
      </c>
      <c r="Q225" s="694"/>
      <c r="R225" s="694"/>
      <c r="S225" s="695"/>
      <c r="T225" s="2780"/>
    </row>
    <row r="226" spans="1:20" s="2772" customFormat="1" ht="14.45" customHeight="1">
      <c r="A226" s="2783"/>
      <c r="B226" s="2764"/>
      <c r="C226" s="567"/>
      <c r="D226" s="2764"/>
      <c r="E226" s="3397"/>
      <c r="F226" s="2765" t="s">
        <v>1054</v>
      </c>
      <c r="G226" s="1212"/>
      <c r="H226" s="2766"/>
      <c r="I226" s="2784"/>
      <c r="J226" s="2766"/>
      <c r="K226" s="2785"/>
      <c r="L226" s="2786"/>
      <c r="M226" s="2787"/>
      <c r="N226" s="2769"/>
      <c r="O226" s="2770"/>
      <c r="P226" s="2771">
        <f>SUM(P227:P229)</f>
        <v>6000000</v>
      </c>
      <c r="Q226" s="653">
        <f>P226</f>
        <v>6000000</v>
      </c>
      <c r="R226" s="653">
        <v>0</v>
      </c>
      <c r="S226" s="2598">
        <f>Q226-R226</f>
        <v>6000000</v>
      </c>
      <c r="T226" s="2649"/>
    </row>
    <row r="227" spans="1:20" s="2772" customFormat="1" ht="14.45" customHeight="1">
      <c r="A227" s="2783"/>
      <c r="B227" s="2764"/>
      <c r="C227" s="567"/>
      <c r="D227" s="2764"/>
      <c r="E227" s="3397"/>
      <c r="F227" s="2773" t="s">
        <v>1055</v>
      </c>
      <c r="G227" s="880">
        <v>2500000</v>
      </c>
      <c r="H227" s="2774" t="s">
        <v>21</v>
      </c>
      <c r="I227" s="2775">
        <v>1</v>
      </c>
      <c r="J227" s="2774"/>
      <c r="K227" s="2788"/>
      <c r="L227" s="2789"/>
      <c r="M227" s="2790"/>
      <c r="N227" s="2778"/>
      <c r="O227" s="2779" t="s">
        <v>1049</v>
      </c>
      <c r="P227" s="2065">
        <f t="shared" ref="P227:P229" si="13">PRODUCT(G227:N227)</f>
        <v>2500000</v>
      </c>
      <c r="Q227" s="694"/>
      <c r="R227" s="694"/>
      <c r="S227" s="695"/>
      <c r="T227" s="2780"/>
    </row>
    <row r="228" spans="1:20" s="2772" customFormat="1" ht="14.45" customHeight="1">
      <c r="A228" s="2783"/>
      <c r="B228" s="2764"/>
      <c r="C228" s="567"/>
      <c r="D228" s="2764"/>
      <c r="E228" s="3397"/>
      <c r="F228" s="2773" t="s">
        <v>1056</v>
      </c>
      <c r="G228" s="880">
        <v>1000000</v>
      </c>
      <c r="H228" s="2774" t="s">
        <v>21</v>
      </c>
      <c r="I228" s="2775">
        <v>2</v>
      </c>
      <c r="J228" s="2774"/>
      <c r="K228" s="2788"/>
      <c r="L228" s="2789"/>
      <c r="M228" s="2790"/>
      <c r="N228" s="2778"/>
      <c r="O228" s="2779" t="s">
        <v>1036</v>
      </c>
      <c r="P228" s="2065">
        <f t="shared" si="13"/>
        <v>2000000</v>
      </c>
      <c r="Q228" s="694"/>
      <c r="R228" s="694"/>
      <c r="S228" s="695"/>
      <c r="T228" s="2780"/>
    </row>
    <row r="229" spans="1:20" s="2772" customFormat="1" ht="14.45" customHeight="1">
      <c r="A229" s="2783"/>
      <c r="B229" s="2764"/>
      <c r="C229" s="567"/>
      <c r="D229" s="2764"/>
      <c r="E229" s="3397"/>
      <c r="F229" s="2773" t="s">
        <v>1057</v>
      </c>
      <c r="G229" s="880">
        <v>1500000</v>
      </c>
      <c r="H229" s="2774" t="s">
        <v>21</v>
      </c>
      <c r="I229" s="2775">
        <v>1</v>
      </c>
      <c r="J229" s="2774"/>
      <c r="K229" s="2788"/>
      <c r="L229" s="2789"/>
      <c r="M229" s="2790"/>
      <c r="N229" s="2778"/>
      <c r="O229" s="2779" t="s">
        <v>1036</v>
      </c>
      <c r="P229" s="2065">
        <f t="shared" si="13"/>
        <v>1500000</v>
      </c>
      <c r="Q229" s="694"/>
      <c r="R229" s="694"/>
      <c r="S229" s="695"/>
      <c r="T229" s="2780"/>
    </row>
    <row r="230" spans="1:20" s="2772" customFormat="1" ht="14.45" customHeight="1">
      <c r="A230" s="2783"/>
      <c r="B230" s="2764"/>
      <c r="C230" s="567"/>
      <c r="D230" s="2764"/>
      <c r="E230" s="3397"/>
      <c r="F230" s="2765" t="s">
        <v>1058</v>
      </c>
      <c r="G230" s="686"/>
      <c r="H230" s="2766"/>
      <c r="I230" s="2784"/>
      <c r="J230" s="2766"/>
      <c r="K230" s="2785"/>
      <c r="L230" s="2786"/>
      <c r="M230" s="2787"/>
      <c r="N230" s="2769"/>
      <c r="O230" s="2770"/>
      <c r="P230" s="2771">
        <f>SUM(P231:P234)</f>
        <v>20000000</v>
      </c>
      <c r="Q230" s="653">
        <f>P230</f>
        <v>20000000</v>
      </c>
      <c r="R230" s="653">
        <v>20000000</v>
      </c>
      <c r="S230" s="2598">
        <f>Q230-R230</f>
        <v>0</v>
      </c>
      <c r="T230" s="2649">
        <f>S230/R230</f>
        <v>0</v>
      </c>
    </row>
    <row r="231" spans="1:20" s="2772" customFormat="1" ht="14.45" customHeight="1">
      <c r="A231" s="2783"/>
      <c r="B231" s="2764"/>
      <c r="C231" s="567"/>
      <c r="D231" s="2764"/>
      <c r="E231" s="3397"/>
      <c r="F231" s="2773" t="s">
        <v>1039</v>
      </c>
      <c r="G231" s="702">
        <v>1000000</v>
      </c>
      <c r="H231" s="2774" t="s">
        <v>21</v>
      </c>
      <c r="I231" s="2775">
        <v>3</v>
      </c>
      <c r="J231" s="2774"/>
      <c r="K231" s="2788"/>
      <c r="L231" s="2789"/>
      <c r="M231" s="2790"/>
      <c r="N231" s="2778"/>
      <c r="O231" s="2779" t="s">
        <v>1036</v>
      </c>
      <c r="P231" s="2065">
        <f t="shared" ref="P231:P234" si="14">PRODUCT(G231:N231)</f>
        <v>3000000</v>
      </c>
      <c r="Q231" s="694"/>
      <c r="R231" s="694"/>
      <c r="S231" s="695"/>
      <c r="T231" s="2780"/>
    </row>
    <row r="232" spans="1:20" s="2772" customFormat="1" ht="14.45" customHeight="1">
      <c r="A232" s="2783"/>
      <c r="B232" s="2764"/>
      <c r="C232" s="567"/>
      <c r="D232" s="2764"/>
      <c r="E232" s="3397"/>
      <c r="F232" s="2773" t="s">
        <v>1038</v>
      </c>
      <c r="G232" s="702">
        <v>800000</v>
      </c>
      <c r="H232" s="2774" t="s">
        <v>21</v>
      </c>
      <c r="I232" s="2775">
        <v>1</v>
      </c>
      <c r="J232" s="2774"/>
      <c r="K232" s="2788"/>
      <c r="L232" s="2789"/>
      <c r="M232" s="2790"/>
      <c r="N232" s="2778"/>
      <c r="O232" s="2779" t="s">
        <v>1041</v>
      </c>
      <c r="P232" s="2065">
        <f t="shared" si="14"/>
        <v>800000</v>
      </c>
      <c r="Q232" s="694"/>
      <c r="R232" s="694"/>
      <c r="S232" s="695"/>
      <c r="T232" s="2780"/>
    </row>
    <row r="233" spans="1:20" s="2772" customFormat="1" ht="14.45" customHeight="1">
      <c r="A233" s="2783"/>
      <c r="B233" s="2764"/>
      <c r="C233" s="567"/>
      <c r="D233" s="2764"/>
      <c r="E233" s="3397"/>
      <c r="F233" s="3524" t="s">
        <v>1059</v>
      </c>
      <c r="G233" s="702">
        <v>400000</v>
      </c>
      <c r="H233" s="2774" t="s">
        <v>21</v>
      </c>
      <c r="I233" s="2775">
        <v>3</v>
      </c>
      <c r="J233" s="2774"/>
      <c r="K233" s="2788"/>
      <c r="L233" s="2789"/>
      <c r="M233" s="2790"/>
      <c r="N233" s="2778"/>
      <c r="O233" s="2779" t="s">
        <v>1036</v>
      </c>
      <c r="P233" s="2065">
        <f t="shared" si="14"/>
        <v>1200000</v>
      </c>
      <c r="Q233" s="694"/>
      <c r="R233" s="694"/>
      <c r="S233" s="695"/>
      <c r="T233" s="2780"/>
    </row>
    <row r="234" spans="1:20" s="2772" customFormat="1" ht="14.45" customHeight="1">
      <c r="A234" s="2783"/>
      <c r="B234" s="2764"/>
      <c r="C234" s="567"/>
      <c r="D234" s="2764"/>
      <c r="E234" s="3397"/>
      <c r="F234" s="3524" t="s">
        <v>1060</v>
      </c>
      <c r="G234" s="702">
        <v>3000000</v>
      </c>
      <c r="H234" s="2774" t="s">
        <v>21</v>
      </c>
      <c r="I234" s="2775">
        <v>5</v>
      </c>
      <c r="J234" s="2774"/>
      <c r="K234" s="2788"/>
      <c r="L234" s="2789"/>
      <c r="M234" s="2790"/>
      <c r="N234" s="2778"/>
      <c r="O234" s="2779" t="s">
        <v>1036</v>
      </c>
      <c r="P234" s="2065">
        <f t="shared" si="14"/>
        <v>15000000</v>
      </c>
      <c r="Q234" s="694"/>
      <c r="R234" s="694"/>
      <c r="S234" s="695"/>
      <c r="T234" s="2780"/>
    </row>
    <row r="235" spans="1:20" s="2772" customFormat="1" ht="14.45" customHeight="1">
      <c r="A235" s="2783"/>
      <c r="B235" s="2764"/>
      <c r="C235" s="567"/>
      <c r="D235" s="2764"/>
      <c r="E235" s="3397"/>
      <c r="F235" s="2765" t="s">
        <v>1061</v>
      </c>
      <c r="G235" s="686"/>
      <c r="H235" s="2766"/>
      <c r="I235" s="2784"/>
      <c r="J235" s="2766"/>
      <c r="K235" s="2785"/>
      <c r="L235" s="2786"/>
      <c r="M235" s="2787"/>
      <c r="N235" s="2769"/>
      <c r="O235" s="2770"/>
      <c r="P235" s="2771">
        <f>SUM(P236:P242)</f>
        <v>20000000</v>
      </c>
      <c r="Q235" s="653">
        <f>P235</f>
        <v>20000000</v>
      </c>
      <c r="R235" s="653">
        <v>15200000</v>
      </c>
      <c r="S235" s="2598">
        <f>Q235-R235</f>
        <v>4800000</v>
      </c>
      <c r="T235" s="2649">
        <f>S235/R235</f>
        <v>0.31578947368421051</v>
      </c>
    </row>
    <row r="236" spans="1:20" s="2772" customFormat="1" ht="14.45" customHeight="1">
      <c r="A236" s="2783"/>
      <c r="B236" s="2764"/>
      <c r="C236" s="567"/>
      <c r="D236" s="2764"/>
      <c r="E236" s="3397"/>
      <c r="F236" s="2773" t="s">
        <v>1062</v>
      </c>
      <c r="G236" s="702">
        <v>3000000</v>
      </c>
      <c r="H236" s="2774" t="s">
        <v>21</v>
      </c>
      <c r="I236" s="2775">
        <v>1</v>
      </c>
      <c r="J236" s="2774"/>
      <c r="K236" s="2788"/>
      <c r="L236" s="2789"/>
      <c r="M236" s="2790"/>
      <c r="N236" s="2778"/>
      <c r="O236" s="2779" t="s">
        <v>1041</v>
      </c>
      <c r="P236" s="2065">
        <f t="shared" ref="P236:P242" si="15">PRODUCT(G236:N236)</f>
        <v>3000000</v>
      </c>
      <c r="Q236" s="694"/>
      <c r="R236" s="694"/>
      <c r="S236" s="695"/>
      <c r="T236" s="2780"/>
    </row>
    <row r="237" spans="1:20" s="2772" customFormat="1" ht="14.45" customHeight="1">
      <c r="A237" s="2783"/>
      <c r="B237" s="2764"/>
      <c r="C237" s="567"/>
      <c r="D237" s="2764"/>
      <c r="E237" s="3397"/>
      <c r="F237" s="2773" t="s">
        <v>1063</v>
      </c>
      <c r="G237" s="702">
        <v>3000000</v>
      </c>
      <c r="H237" s="2774" t="s">
        <v>21</v>
      </c>
      <c r="I237" s="2775">
        <v>1</v>
      </c>
      <c r="J237" s="2774"/>
      <c r="K237" s="2788"/>
      <c r="L237" s="2789"/>
      <c r="M237" s="2790"/>
      <c r="N237" s="2778"/>
      <c r="O237" s="2779" t="s">
        <v>1036</v>
      </c>
      <c r="P237" s="2065">
        <f t="shared" si="15"/>
        <v>3000000</v>
      </c>
      <c r="Q237" s="694"/>
      <c r="R237" s="694"/>
      <c r="S237" s="695"/>
      <c r="T237" s="2780"/>
    </row>
    <row r="238" spans="1:20" s="2772" customFormat="1" ht="14.45" customHeight="1">
      <c r="A238" s="2783"/>
      <c r="B238" s="2764"/>
      <c r="C238" s="567"/>
      <c r="D238" s="2764"/>
      <c r="E238" s="3399"/>
      <c r="F238" s="2773" t="s">
        <v>1064</v>
      </c>
      <c r="G238" s="702">
        <v>1500000</v>
      </c>
      <c r="H238" s="2774" t="s">
        <v>21</v>
      </c>
      <c r="I238" s="2775">
        <v>1</v>
      </c>
      <c r="J238" s="2774"/>
      <c r="K238" s="2788"/>
      <c r="L238" s="2789"/>
      <c r="M238" s="2790"/>
      <c r="N238" s="2778"/>
      <c r="O238" s="2779" t="s">
        <v>1036</v>
      </c>
      <c r="P238" s="2065">
        <f t="shared" si="15"/>
        <v>1500000</v>
      </c>
      <c r="Q238" s="694"/>
      <c r="R238" s="694"/>
      <c r="S238" s="695"/>
      <c r="T238" s="2780"/>
    </row>
    <row r="239" spans="1:20" s="2772" customFormat="1" ht="14.45" customHeight="1">
      <c r="A239" s="2783"/>
      <c r="B239" s="2764"/>
      <c r="C239" s="567"/>
      <c r="D239" s="2764"/>
      <c r="E239" s="3399"/>
      <c r="F239" s="2773" t="s">
        <v>1065</v>
      </c>
      <c r="G239" s="702">
        <v>4000000</v>
      </c>
      <c r="H239" s="2774" t="s">
        <v>21</v>
      </c>
      <c r="I239" s="2775">
        <v>1</v>
      </c>
      <c r="J239" s="2774"/>
      <c r="K239" s="2788"/>
      <c r="L239" s="2789"/>
      <c r="M239" s="2790"/>
      <c r="N239" s="2778"/>
      <c r="O239" s="2779" t="s">
        <v>1037</v>
      </c>
      <c r="P239" s="2065">
        <f t="shared" si="15"/>
        <v>4000000</v>
      </c>
      <c r="Q239" s="694"/>
      <c r="R239" s="694"/>
      <c r="S239" s="695"/>
      <c r="T239" s="2780"/>
    </row>
    <row r="240" spans="1:20" s="2772" customFormat="1" ht="14.45" customHeight="1">
      <c r="A240" s="2812"/>
      <c r="B240" s="2813"/>
      <c r="C240" s="2814"/>
      <c r="D240" s="2813"/>
      <c r="E240" s="3400"/>
      <c r="F240" s="2815" t="s">
        <v>1042</v>
      </c>
      <c r="G240" s="711">
        <v>5000000</v>
      </c>
      <c r="H240" s="2816" t="s">
        <v>21</v>
      </c>
      <c r="I240" s="2817">
        <v>1</v>
      </c>
      <c r="J240" s="2816"/>
      <c r="K240" s="2818"/>
      <c r="L240" s="2819"/>
      <c r="M240" s="2820"/>
      <c r="N240" s="2821"/>
      <c r="O240" s="2822" t="s">
        <v>1036</v>
      </c>
      <c r="P240" s="2081">
        <f t="shared" si="15"/>
        <v>5000000</v>
      </c>
      <c r="Q240" s="712"/>
      <c r="R240" s="712"/>
      <c r="S240" s="713"/>
      <c r="T240" s="2824"/>
    </row>
    <row r="241" spans="1:26" s="2772" customFormat="1" ht="14.45" customHeight="1">
      <c r="A241" s="2783"/>
      <c r="B241" s="2764"/>
      <c r="C241" s="567"/>
      <c r="D241" s="2764"/>
      <c r="E241" s="3399"/>
      <c r="F241" s="2773" t="s">
        <v>1040</v>
      </c>
      <c r="G241" s="702">
        <v>3000000</v>
      </c>
      <c r="H241" s="2774" t="s">
        <v>21</v>
      </c>
      <c r="I241" s="2775">
        <v>1</v>
      </c>
      <c r="J241" s="2774"/>
      <c r="K241" s="2788"/>
      <c r="L241" s="2789"/>
      <c r="M241" s="2790"/>
      <c r="N241" s="2778"/>
      <c r="O241" s="2779" t="s">
        <v>1041</v>
      </c>
      <c r="P241" s="2065">
        <f t="shared" si="15"/>
        <v>3000000</v>
      </c>
      <c r="Q241" s="694"/>
      <c r="R241" s="694"/>
      <c r="S241" s="695"/>
      <c r="T241" s="2780"/>
    </row>
    <row r="242" spans="1:26" s="2772" customFormat="1" ht="14.45" customHeight="1">
      <c r="A242" s="2783"/>
      <c r="B242" s="2764"/>
      <c r="C242" s="567"/>
      <c r="D242" s="2764"/>
      <c r="E242" s="3399"/>
      <c r="F242" s="2773" t="s">
        <v>1066</v>
      </c>
      <c r="G242" s="702">
        <v>100000</v>
      </c>
      <c r="H242" s="2774" t="s">
        <v>21</v>
      </c>
      <c r="I242" s="2775">
        <v>5</v>
      </c>
      <c r="J242" s="2774"/>
      <c r="K242" s="2788"/>
      <c r="L242" s="2789"/>
      <c r="M242" s="2790"/>
      <c r="N242" s="2778"/>
      <c r="O242" s="2779" t="s">
        <v>22</v>
      </c>
      <c r="P242" s="2065">
        <f t="shared" si="15"/>
        <v>500000</v>
      </c>
      <c r="Q242" s="694"/>
      <c r="R242" s="694"/>
      <c r="S242" s="695"/>
      <c r="T242" s="2780"/>
      <c r="W242" s="840">
        <v>400000000</v>
      </c>
    </row>
    <row r="243" spans="1:26" s="2772" customFormat="1" ht="14.45" customHeight="1">
      <c r="A243" s="2783"/>
      <c r="B243" s="2764"/>
      <c r="C243" s="567"/>
      <c r="D243" s="2764"/>
      <c r="E243" s="3400"/>
      <c r="F243" s="2791" t="s">
        <v>2874</v>
      </c>
      <c r="G243" s="1575"/>
      <c r="H243" s="2792"/>
      <c r="I243" s="2793"/>
      <c r="J243" s="2792"/>
      <c r="K243" s="2794"/>
      <c r="L243" s="2795"/>
      <c r="M243" s="2796"/>
      <c r="N243" s="2797"/>
      <c r="O243" s="2798"/>
      <c r="P243" s="2799"/>
      <c r="Q243" s="2800">
        <f>P243</f>
        <v>0</v>
      </c>
      <c r="R243" s="683">
        <v>10000000</v>
      </c>
      <c r="S243" s="2801">
        <f>Q243-R243</f>
        <v>-10000000</v>
      </c>
      <c r="T243" s="2802">
        <f>S243/R243</f>
        <v>-1</v>
      </c>
      <c r="W243" s="840"/>
    </row>
    <row r="244" spans="1:26" ht="14.45" customHeight="1">
      <c r="A244" s="2783"/>
      <c r="B244" s="2764"/>
      <c r="C244" s="567"/>
      <c r="D244" s="2764"/>
      <c r="E244" s="3637" t="s">
        <v>2998</v>
      </c>
      <c r="F244" s="3638"/>
      <c r="G244" s="3638"/>
      <c r="H244" s="3638"/>
      <c r="I244" s="3638"/>
      <c r="J244" s="3638"/>
      <c r="K244" s="3638"/>
      <c r="L244" s="3638"/>
      <c r="M244" s="3638"/>
      <c r="N244" s="3638"/>
      <c r="O244" s="3638"/>
      <c r="P244" s="3639"/>
      <c r="Q244" s="2680">
        <f>P245+P251+P257+P261+P265+P277+P283+P289+P294+P300+P304</f>
        <v>856000000</v>
      </c>
      <c r="R244" s="2680">
        <f>SUM(R245:R306)</f>
        <v>930780000</v>
      </c>
      <c r="S244" s="2681">
        <f>Q244-R244</f>
        <v>-74780000</v>
      </c>
      <c r="T244" s="2682">
        <f>S244/R244</f>
        <v>-8.0341219192505212E-2</v>
      </c>
      <c r="W244" s="2739"/>
    </row>
    <row r="245" spans="1:26" s="2772" customFormat="1" ht="14.45" customHeight="1">
      <c r="A245" s="2783"/>
      <c r="B245" s="2764"/>
      <c r="C245" s="567"/>
      <c r="D245" s="2764"/>
      <c r="E245" s="3397"/>
      <c r="F245" s="2765" t="s">
        <v>1067</v>
      </c>
      <c r="G245" s="686"/>
      <c r="H245" s="2766"/>
      <c r="I245" s="2767"/>
      <c r="J245" s="2766"/>
      <c r="K245" s="2767"/>
      <c r="L245" s="2768"/>
      <c r="M245" s="2766"/>
      <c r="N245" s="2769"/>
      <c r="O245" s="2770"/>
      <c r="P245" s="2771">
        <f>SUM(P246:P250)</f>
        <v>12000000</v>
      </c>
      <c r="Q245" s="653">
        <f>P245</f>
        <v>12000000</v>
      </c>
      <c r="R245" s="653">
        <v>9000000</v>
      </c>
      <c r="S245" s="2598">
        <f>Q245-R245</f>
        <v>3000000</v>
      </c>
      <c r="T245" s="2649">
        <f>S245/R245</f>
        <v>0.33333333333333331</v>
      </c>
    </row>
    <row r="246" spans="1:26" s="2772" customFormat="1" ht="14.45" customHeight="1">
      <c r="A246" s="2783"/>
      <c r="B246" s="2764"/>
      <c r="C246" s="567"/>
      <c r="D246" s="2764"/>
      <c r="E246" s="3401"/>
      <c r="F246" s="2773" t="s">
        <v>1083</v>
      </c>
      <c r="G246" s="702">
        <v>2000000</v>
      </c>
      <c r="H246" s="2774" t="s">
        <v>21</v>
      </c>
      <c r="I246" s="2775">
        <v>1</v>
      </c>
      <c r="J246" s="2774"/>
      <c r="K246" s="2776"/>
      <c r="L246" s="2777"/>
      <c r="M246" s="2774"/>
      <c r="N246" s="2778"/>
      <c r="O246" s="2779" t="s">
        <v>22</v>
      </c>
      <c r="P246" s="2065">
        <f t="shared" ref="P246:P250" si="16">PRODUCT(G246:N246)</f>
        <v>2000000</v>
      </c>
      <c r="Q246" s="694"/>
      <c r="R246" s="694"/>
      <c r="S246" s="695"/>
      <c r="T246" s="2780"/>
      <c r="W246" s="2772">
        <v>686000000</v>
      </c>
    </row>
    <row r="247" spans="1:26" s="2772" customFormat="1" ht="14.45" customHeight="1">
      <c r="A247" s="2783"/>
      <c r="B247" s="2764"/>
      <c r="C247" s="567"/>
      <c r="D247" s="2764"/>
      <c r="E247" s="3401"/>
      <c r="F247" s="2773" t="s">
        <v>1084</v>
      </c>
      <c r="G247" s="702">
        <v>3000000</v>
      </c>
      <c r="H247" s="2774" t="s">
        <v>21</v>
      </c>
      <c r="I247" s="2775">
        <v>1</v>
      </c>
      <c r="J247" s="2774"/>
      <c r="K247" s="2776"/>
      <c r="L247" s="2777"/>
      <c r="M247" s="2774"/>
      <c r="N247" s="2778"/>
      <c r="O247" s="2779" t="s">
        <v>22</v>
      </c>
      <c r="P247" s="2065">
        <f t="shared" si="16"/>
        <v>3000000</v>
      </c>
      <c r="Q247" s="694"/>
      <c r="R247" s="694"/>
      <c r="S247" s="695"/>
      <c r="T247" s="2780"/>
    </row>
    <row r="248" spans="1:26" s="2772" customFormat="1" ht="14.45" customHeight="1">
      <c r="A248" s="2783"/>
      <c r="B248" s="2764"/>
      <c r="C248" s="567"/>
      <c r="D248" s="2764"/>
      <c r="E248" s="3402"/>
      <c r="F248" s="2773" t="s">
        <v>1085</v>
      </c>
      <c r="G248" s="702">
        <v>1000000</v>
      </c>
      <c r="H248" s="2774" t="s">
        <v>21</v>
      </c>
      <c r="I248" s="2775">
        <v>1</v>
      </c>
      <c r="J248" s="2774"/>
      <c r="K248" s="2776"/>
      <c r="L248" s="2777"/>
      <c r="M248" s="2774"/>
      <c r="N248" s="2778"/>
      <c r="O248" s="2779" t="s">
        <v>22</v>
      </c>
      <c r="P248" s="2065">
        <f t="shared" si="16"/>
        <v>1000000</v>
      </c>
      <c r="Q248" s="694"/>
      <c r="R248" s="694"/>
      <c r="S248" s="695"/>
      <c r="T248" s="2780"/>
    </row>
    <row r="249" spans="1:26" s="2772" customFormat="1" ht="14.45" customHeight="1">
      <c r="A249" s="2783"/>
      <c r="B249" s="2764"/>
      <c r="C249" s="567"/>
      <c r="D249" s="2764"/>
      <c r="E249" s="3402"/>
      <c r="F249" s="2773" t="s">
        <v>2958</v>
      </c>
      <c r="G249" s="702">
        <v>1000000</v>
      </c>
      <c r="H249" s="2774" t="s">
        <v>21</v>
      </c>
      <c r="I249" s="2775">
        <v>4</v>
      </c>
      <c r="J249" s="2774"/>
      <c r="K249" s="2776"/>
      <c r="L249" s="2777"/>
      <c r="M249" s="2774"/>
      <c r="N249" s="2778"/>
      <c r="O249" s="2779" t="s">
        <v>22</v>
      </c>
      <c r="P249" s="2065">
        <f t="shared" si="16"/>
        <v>4000000</v>
      </c>
      <c r="Q249" s="694"/>
      <c r="R249" s="694"/>
      <c r="S249" s="695"/>
      <c r="T249" s="2780"/>
    </row>
    <row r="250" spans="1:26" s="2772" customFormat="1" ht="14.45" customHeight="1">
      <c r="A250" s="2783"/>
      <c r="B250" s="2764"/>
      <c r="C250" s="567"/>
      <c r="D250" s="2764"/>
      <c r="E250" s="3402"/>
      <c r="F250" s="2773" t="s">
        <v>1086</v>
      </c>
      <c r="G250" s="702">
        <v>500000</v>
      </c>
      <c r="H250" s="2774" t="s">
        <v>21</v>
      </c>
      <c r="I250" s="2775">
        <v>4</v>
      </c>
      <c r="J250" s="2774"/>
      <c r="K250" s="2776"/>
      <c r="L250" s="2777"/>
      <c r="M250" s="2774"/>
      <c r="N250" s="2778"/>
      <c r="O250" s="2779" t="s">
        <v>22</v>
      </c>
      <c r="P250" s="2065">
        <f t="shared" si="16"/>
        <v>2000000</v>
      </c>
      <c r="Q250" s="694"/>
      <c r="R250" s="694"/>
      <c r="S250" s="695"/>
      <c r="T250" s="2780"/>
    </row>
    <row r="251" spans="1:26" s="2772" customFormat="1" ht="14.45" customHeight="1">
      <c r="A251" s="2783"/>
      <c r="B251" s="2764"/>
      <c r="C251" s="567"/>
      <c r="D251" s="2764"/>
      <c r="E251" s="3401"/>
      <c r="F251" s="2765" t="s">
        <v>1087</v>
      </c>
      <c r="G251" s="686"/>
      <c r="H251" s="2766"/>
      <c r="I251" s="2803"/>
      <c r="J251" s="2766"/>
      <c r="K251" s="2785"/>
      <c r="L251" s="2786"/>
      <c r="M251" s="2787"/>
      <c r="N251" s="2769"/>
      <c r="O251" s="2770"/>
      <c r="P251" s="2771">
        <f>SUM(P252:P256)</f>
        <v>20000000</v>
      </c>
      <c r="Q251" s="653">
        <f>P251</f>
        <v>20000000</v>
      </c>
      <c r="R251" s="653">
        <v>0</v>
      </c>
      <c r="S251" s="2598">
        <f>Q251-R251</f>
        <v>20000000</v>
      </c>
      <c r="T251" s="2649"/>
      <c r="X251" s="2781"/>
      <c r="Z251" s="2781"/>
    </row>
    <row r="252" spans="1:26" s="2772" customFormat="1" ht="14.45" customHeight="1">
      <c r="A252" s="2783"/>
      <c r="B252" s="2764"/>
      <c r="C252" s="567"/>
      <c r="D252" s="2764"/>
      <c r="E252" s="3401"/>
      <c r="F252" s="2773" t="s">
        <v>1088</v>
      </c>
      <c r="G252" s="1552">
        <v>100000</v>
      </c>
      <c r="H252" s="2804" t="s">
        <v>21</v>
      </c>
      <c r="I252" s="2775">
        <v>10</v>
      </c>
      <c r="J252" s="2804"/>
      <c r="K252" s="2805"/>
      <c r="L252" s="2806"/>
      <c r="M252" s="2807"/>
      <c r="N252" s="2808"/>
      <c r="O252" s="2809" t="s">
        <v>22</v>
      </c>
      <c r="P252" s="2112">
        <f>PRODUCT(G252:N252)</f>
        <v>1000000</v>
      </c>
      <c r="Q252" s="694"/>
      <c r="R252" s="694"/>
      <c r="S252" s="695"/>
      <c r="T252" s="2780"/>
    </row>
    <row r="253" spans="1:26" s="2772" customFormat="1" ht="14.45" customHeight="1">
      <c r="A253" s="2783"/>
      <c r="B253" s="2764"/>
      <c r="C253" s="567"/>
      <c r="D253" s="2764"/>
      <c r="E253" s="3401"/>
      <c r="F253" s="2773" t="s">
        <v>1089</v>
      </c>
      <c r="G253" s="1552">
        <v>6000000</v>
      </c>
      <c r="H253" s="2804" t="s">
        <v>21</v>
      </c>
      <c r="I253" s="2775">
        <v>1</v>
      </c>
      <c r="J253" s="2804"/>
      <c r="K253" s="2805"/>
      <c r="L253" s="2806"/>
      <c r="M253" s="2807"/>
      <c r="N253" s="2808"/>
      <c r="O253" s="2809" t="s">
        <v>22</v>
      </c>
      <c r="P253" s="2112">
        <f t="shared" ref="P253:P256" si="17">PRODUCT(G253:N253)</f>
        <v>6000000</v>
      </c>
      <c r="Q253" s="694"/>
      <c r="R253" s="694"/>
      <c r="S253" s="695"/>
      <c r="T253" s="2780"/>
      <c r="W253" s="2810" t="e">
        <f>W242-W244-W245-W246-W247-W248-#REF!-W250-W251-W252</f>
        <v>#REF!</v>
      </c>
    </row>
    <row r="254" spans="1:26" s="2772" customFormat="1" ht="14.45" customHeight="1">
      <c r="A254" s="2783"/>
      <c r="B254" s="2764"/>
      <c r="C254" s="567"/>
      <c r="D254" s="2764"/>
      <c r="E254" s="3401"/>
      <c r="F254" s="2773" t="s">
        <v>1090</v>
      </c>
      <c r="G254" s="1552">
        <v>3000000</v>
      </c>
      <c r="H254" s="2804" t="s">
        <v>21</v>
      </c>
      <c r="I254" s="2775">
        <v>1</v>
      </c>
      <c r="J254" s="2804"/>
      <c r="K254" s="2805"/>
      <c r="L254" s="2806"/>
      <c r="M254" s="2807"/>
      <c r="N254" s="2808"/>
      <c r="O254" s="2809" t="s">
        <v>22</v>
      </c>
      <c r="P254" s="2112">
        <f t="shared" si="17"/>
        <v>3000000</v>
      </c>
      <c r="Q254" s="694"/>
      <c r="R254" s="694"/>
      <c r="S254" s="695"/>
      <c r="T254" s="2780"/>
    </row>
    <row r="255" spans="1:26" s="2772" customFormat="1" ht="14.45" customHeight="1">
      <c r="A255" s="2783"/>
      <c r="B255" s="2764"/>
      <c r="C255" s="567"/>
      <c r="D255" s="2764"/>
      <c r="E255" s="3401"/>
      <c r="F255" s="2773" t="s">
        <v>1091</v>
      </c>
      <c r="G255" s="1552">
        <v>4000000</v>
      </c>
      <c r="H255" s="2804" t="s">
        <v>21</v>
      </c>
      <c r="I255" s="2775">
        <v>1</v>
      </c>
      <c r="J255" s="2804"/>
      <c r="K255" s="2805"/>
      <c r="L255" s="2806"/>
      <c r="M255" s="2807"/>
      <c r="N255" s="2808"/>
      <c r="O255" s="2809" t="s">
        <v>22</v>
      </c>
      <c r="P255" s="2112">
        <f t="shared" si="17"/>
        <v>4000000</v>
      </c>
      <c r="Q255" s="694"/>
      <c r="R255" s="694"/>
      <c r="S255" s="695"/>
      <c r="T255" s="2780"/>
    </row>
    <row r="256" spans="1:26" s="2772" customFormat="1" ht="14.45" customHeight="1">
      <c r="A256" s="2783"/>
      <c r="B256" s="2764"/>
      <c r="C256" s="567"/>
      <c r="D256" s="2764"/>
      <c r="E256" s="3401"/>
      <c r="F256" s="2773" t="s">
        <v>1092</v>
      </c>
      <c r="G256" s="1552">
        <v>2000000</v>
      </c>
      <c r="H256" s="2804" t="s">
        <v>21</v>
      </c>
      <c r="I256" s="2811">
        <v>3</v>
      </c>
      <c r="J256" s="2804"/>
      <c r="K256" s="2805"/>
      <c r="L256" s="2806"/>
      <c r="M256" s="2807"/>
      <c r="N256" s="2808"/>
      <c r="O256" s="2809" t="s">
        <v>22</v>
      </c>
      <c r="P256" s="2112">
        <f t="shared" si="17"/>
        <v>6000000</v>
      </c>
      <c r="Q256" s="694"/>
      <c r="R256" s="694"/>
      <c r="S256" s="695"/>
      <c r="T256" s="2780"/>
    </row>
    <row r="257" spans="1:26" s="2772" customFormat="1" ht="14.45" customHeight="1">
      <c r="A257" s="2783"/>
      <c r="B257" s="2764"/>
      <c r="C257" s="567"/>
      <c r="D257" s="2764"/>
      <c r="E257" s="3401"/>
      <c r="F257" s="2765" t="s">
        <v>1093</v>
      </c>
      <c r="G257" s="686"/>
      <c r="H257" s="2766"/>
      <c r="I257" s="2785"/>
      <c r="J257" s="2766"/>
      <c r="K257" s="2785"/>
      <c r="L257" s="2786"/>
      <c r="M257" s="2787"/>
      <c r="N257" s="2769"/>
      <c r="O257" s="2770"/>
      <c r="P257" s="2771">
        <f>SUM(P258:P260)</f>
        <v>5000000</v>
      </c>
      <c r="Q257" s="653">
        <f>P257</f>
        <v>5000000</v>
      </c>
      <c r="R257" s="653">
        <v>0</v>
      </c>
      <c r="S257" s="2598">
        <f>Q257-R257</f>
        <v>5000000</v>
      </c>
      <c r="T257" s="2649"/>
    </row>
    <row r="258" spans="1:26" s="2772" customFormat="1" ht="14.45" customHeight="1">
      <c r="A258" s="2783"/>
      <c r="B258" s="2764"/>
      <c r="C258" s="567"/>
      <c r="D258" s="2764"/>
      <c r="E258" s="3401"/>
      <c r="F258" s="2773" t="s">
        <v>1094</v>
      </c>
      <c r="G258" s="702">
        <v>1000000</v>
      </c>
      <c r="H258" s="2774" t="s">
        <v>21</v>
      </c>
      <c r="I258" s="2775">
        <v>3</v>
      </c>
      <c r="J258" s="2774"/>
      <c r="K258" s="2788"/>
      <c r="L258" s="2789"/>
      <c r="M258" s="2790"/>
      <c r="N258" s="2778"/>
      <c r="O258" s="2779" t="s">
        <v>22</v>
      </c>
      <c r="P258" s="2640">
        <f t="shared" ref="P258:P260" si="18">G258*I258</f>
        <v>3000000</v>
      </c>
      <c r="Q258" s="694"/>
      <c r="R258" s="694"/>
      <c r="S258" s="695"/>
      <c r="T258" s="2780"/>
      <c r="W258" s="840"/>
    </row>
    <row r="259" spans="1:26" s="2772" customFormat="1" ht="14.45" customHeight="1">
      <c r="A259" s="2783"/>
      <c r="B259" s="2764"/>
      <c r="C259" s="567"/>
      <c r="D259" s="2764"/>
      <c r="E259" s="3401"/>
      <c r="F259" s="2773" t="s">
        <v>1068</v>
      </c>
      <c r="G259" s="702">
        <v>1500000</v>
      </c>
      <c r="H259" s="2774" t="s">
        <v>21</v>
      </c>
      <c r="I259" s="2775">
        <v>1</v>
      </c>
      <c r="J259" s="2774"/>
      <c r="K259" s="2788"/>
      <c r="L259" s="2789"/>
      <c r="M259" s="2790"/>
      <c r="N259" s="2778"/>
      <c r="O259" s="2779" t="s">
        <v>22</v>
      </c>
      <c r="P259" s="2640">
        <f t="shared" si="18"/>
        <v>1500000</v>
      </c>
      <c r="Q259" s="694"/>
      <c r="R259" s="694"/>
      <c r="S259" s="695"/>
      <c r="T259" s="2780"/>
    </row>
    <row r="260" spans="1:26" s="2772" customFormat="1" ht="14.45" customHeight="1">
      <c r="A260" s="2783"/>
      <c r="B260" s="2764"/>
      <c r="C260" s="567"/>
      <c r="D260" s="2764"/>
      <c r="E260" s="3401"/>
      <c r="F260" s="2773" t="s">
        <v>1095</v>
      </c>
      <c r="G260" s="702">
        <v>500000</v>
      </c>
      <c r="H260" s="2774" t="s">
        <v>21</v>
      </c>
      <c r="I260" s="2775">
        <v>1</v>
      </c>
      <c r="J260" s="2774"/>
      <c r="K260" s="2788"/>
      <c r="L260" s="2789"/>
      <c r="M260" s="2790"/>
      <c r="N260" s="2778"/>
      <c r="O260" s="2779" t="s">
        <v>22</v>
      </c>
      <c r="P260" s="2640">
        <f t="shared" si="18"/>
        <v>500000</v>
      </c>
      <c r="Q260" s="694"/>
      <c r="R260" s="694"/>
      <c r="S260" s="695"/>
      <c r="T260" s="2780"/>
    </row>
    <row r="261" spans="1:26" s="2772" customFormat="1" ht="14.45" customHeight="1">
      <c r="A261" s="2783"/>
      <c r="B261" s="2764"/>
      <c r="C261" s="567"/>
      <c r="D261" s="2764"/>
      <c r="E261" s="3401"/>
      <c r="F261" s="2765" t="s">
        <v>1069</v>
      </c>
      <c r="G261" s="686"/>
      <c r="H261" s="2766"/>
      <c r="I261" s="2785"/>
      <c r="J261" s="2766"/>
      <c r="K261" s="2785"/>
      <c r="L261" s="2786"/>
      <c r="M261" s="2787"/>
      <c r="N261" s="2769"/>
      <c r="O261" s="2770"/>
      <c r="P261" s="2771">
        <f>SUM(P262:P264)</f>
        <v>23000000</v>
      </c>
      <c r="Q261" s="653">
        <f>P261</f>
        <v>23000000</v>
      </c>
      <c r="R261" s="653">
        <v>19280000</v>
      </c>
      <c r="S261" s="2598">
        <f>Q261-R261</f>
        <v>3720000</v>
      </c>
      <c r="T261" s="2649">
        <f>S261/R261</f>
        <v>0.19294605809128632</v>
      </c>
    </row>
    <row r="262" spans="1:26" s="2772" customFormat="1" ht="14.45" customHeight="1">
      <c r="A262" s="2783"/>
      <c r="B262" s="2764"/>
      <c r="C262" s="567"/>
      <c r="D262" s="2764"/>
      <c r="E262" s="3401"/>
      <c r="F262" s="2773" t="s">
        <v>1096</v>
      </c>
      <c r="G262" s="1552">
        <v>2000000</v>
      </c>
      <c r="H262" s="2804" t="s">
        <v>21</v>
      </c>
      <c r="I262" s="2825">
        <v>1</v>
      </c>
      <c r="J262" s="2804"/>
      <c r="K262" s="2805"/>
      <c r="L262" s="2806"/>
      <c r="M262" s="2807"/>
      <c r="N262" s="2808"/>
      <c r="O262" s="2809" t="s">
        <v>22</v>
      </c>
      <c r="P262" s="2112">
        <f t="shared" ref="P262:P264" si="19">PRODUCT(G262:N262)</f>
        <v>2000000</v>
      </c>
      <c r="Q262" s="694"/>
      <c r="R262" s="694"/>
      <c r="S262" s="695"/>
      <c r="T262" s="2780"/>
    </row>
    <row r="263" spans="1:26" s="2772" customFormat="1" ht="14.45" customHeight="1">
      <c r="A263" s="2783"/>
      <c r="B263" s="2764"/>
      <c r="C263" s="567"/>
      <c r="D263" s="2764"/>
      <c r="E263" s="3401"/>
      <c r="F263" s="2773" t="s">
        <v>1070</v>
      </c>
      <c r="G263" s="1552">
        <v>20000000</v>
      </c>
      <c r="H263" s="2804" t="s">
        <v>21</v>
      </c>
      <c r="I263" s="2825">
        <v>1</v>
      </c>
      <c r="J263" s="2804"/>
      <c r="K263" s="2805"/>
      <c r="L263" s="2806"/>
      <c r="M263" s="2807"/>
      <c r="N263" s="2808"/>
      <c r="O263" s="2809" t="s">
        <v>22</v>
      </c>
      <c r="P263" s="2112">
        <f t="shared" si="19"/>
        <v>20000000</v>
      </c>
      <c r="Q263" s="694"/>
      <c r="R263" s="694"/>
      <c r="S263" s="695"/>
      <c r="T263" s="2780"/>
    </row>
    <row r="264" spans="1:26" s="2772" customFormat="1" ht="14.45" customHeight="1">
      <c r="A264" s="2783"/>
      <c r="B264" s="2764"/>
      <c r="C264" s="567"/>
      <c r="D264" s="2764"/>
      <c r="E264" s="3401"/>
      <c r="F264" s="2773" t="s">
        <v>1097</v>
      </c>
      <c r="G264" s="702">
        <v>1000000</v>
      </c>
      <c r="H264" s="2774" t="s">
        <v>21</v>
      </c>
      <c r="I264" s="2825">
        <v>1</v>
      </c>
      <c r="J264" s="2774"/>
      <c r="K264" s="2788"/>
      <c r="L264" s="2789"/>
      <c r="M264" s="2790"/>
      <c r="N264" s="2778"/>
      <c r="O264" s="2779" t="s">
        <v>22</v>
      </c>
      <c r="P264" s="2065">
        <f t="shared" si="19"/>
        <v>1000000</v>
      </c>
      <c r="Q264" s="694"/>
      <c r="R264" s="694"/>
      <c r="S264" s="695"/>
      <c r="T264" s="2780"/>
      <c r="Y264" s="2781"/>
    </row>
    <row r="265" spans="1:26" s="2772" customFormat="1" ht="14.45" customHeight="1">
      <c r="A265" s="2783"/>
      <c r="B265" s="2764"/>
      <c r="C265" s="567"/>
      <c r="D265" s="2764"/>
      <c r="E265" s="3401"/>
      <c r="F265" s="2765" t="s">
        <v>1071</v>
      </c>
      <c r="G265" s="686"/>
      <c r="H265" s="2766"/>
      <c r="I265" s="2785"/>
      <c r="J265" s="2766"/>
      <c r="K265" s="2785"/>
      <c r="L265" s="2786"/>
      <c r="M265" s="2787"/>
      <c r="N265" s="2769"/>
      <c r="O265" s="2770"/>
      <c r="P265" s="2771">
        <f>SUM(P266:P276)</f>
        <v>686000000</v>
      </c>
      <c r="Q265" s="653">
        <f>P265</f>
        <v>686000000</v>
      </c>
      <c r="R265" s="653">
        <v>853000000</v>
      </c>
      <c r="S265" s="2598">
        <f>Q265-R265</f>
        <v>-167000000</v>
      </c>
      <c r="T265" s="2649">
        <f>S265/R265</f>
        <v>-0.19577960140679954</v>
      </c>
      <c r="V265" s="840">
        <v>400000000</v>
      </c>
      <c r="X265" s="2781">
        <f>P265-V265</f>
        <v>286000000</v>
      </c>
      <c r="Z265" s="2781"/>
    </row>
    <row r="266" spans="1:26" s="2772" customFormat="1" ht="14.45" customHeight="1">
      <c r="A266" s="2783"/>
      <c r="B266" s="2764"/>
      <c r="C266" s="567"/>
      <c r="D266" s="2764"/>
      <c r="E266" s="3401"/>
      <c r="F266" s="2773" t="s">
        <v>1072</v>
      </c>
      <c r="G266" s="1552">
        <v>125000000</v>
      </c>
      <c r="H266" s="2804" t="s">
        <v>21</v>
      </c>
      <c r="I266" s="2826">
        <v>4</v>
      </c>
      <c r="J266" s="2804"/>
      <c r="K266" s="2805"/>
      <c r="L266" s="2806"/>
      <c r="M266" s="2807"/>
      <c r="N266" s="2808"/>
      <c r="O266" s="2809" t="s">
        <v>22</v>
      </c>
      <c r="P266" s="2112">
        <f t="shared" ref="P266:P276" si="20">PRODUCT(G266:N266)</f>
        <v>500000000</v>
      </c>
      <c r="Q266" s="694"/>
      <c r="R266" s="694"/>
      <c r="S266" s="695"/>
      <c r="T266" s="2780"/>
    </row>
    <row r="267" spans="1:26" s="2772" customFormat="1" ht="14.45" customHeight="1">
      <c r="A267" s="2783"/>
      <c r="B267" s="2764"/>
      <c r="C267" s="567"/>
      <c r="D267" s="2764"/>
      <c r="E267" s="3401"/>
      <c r="F267" s="2773" t="s">
        <v>2322</v>
      </c>
      <c r="G267" s="1552">
        <v>8500000</v>
      </c>
      <c r="H267" s="2804" t="s">
        <v>21</v>
      </c>
      <c r="I267" s="2826">
        <v>20</v>
      </c>
      <c r="J267" s="2804"/>
      <c r="K267" s="2805"/>
      <c r="L267" s="2806"/>
      <c r="M267" s="2807"/>
      <c r="N267" s="2808"/>
      <c r="O267" s="2809" t="s">
        <v>22</v>
      </c>
      <c r="P267" s="2112">
        <f t="shared" si="20"/>
        <v>170000000</v>
      </c>
      <c r="Q267" s="666"/>
      <c r="R267" s="666"/>
      <c r="S267" s="667"/>
      <c r="T267" s="2827"/>
      <c r="Y267" s="2828"/>
    </row>
    <row r="268" spans="1:26" s="2772" customFormat="1" ht="14.45" customHeight="1">
      <c r="A268" s="2783"/>
      <c r="B268" s="2764"/>
      <c r="C268" s="567"/>
      <c r="D268" s="2764"/>
      <c r="E268" s="3401"/>
      <c r="F268" s="2773" t="s">
        <v>1098</v>
      </c>
      <c r="G268" s="702">
        <v>378000</v>
      </c>
      <c r="H268" s="2774" t="s">
        <v>21</v>
      </c>
      <c r="I268" s="2825">
        <v>1</v>
      </c>
      <c r="J268" s="2774"/>
      <c r="K268" s="2788"/>
      <c r="L268" s="2789"/>
      <c r="M268" s="2790"/>
      <c r="N268" s="2778"/>
      <c r="O268" s="2779" t="s">
        <v>22</v>
      </c>
      <c r="P268" s="2065">
        <f t="shared" si="20"/>
        <v>378000</v>
      </c>
      <c r="Q268" s="694"/>
      <c r="R268" s="694"/>
      <c r="S268" s="695"/>
      <c r="T268" s="2780"/>
      <c r="X268" s="2828"/>
    </row>
    <row r="269" spans="1:26" s="2772" customFormat="1" ht="14.45" customHeight="1">
      <c r="A269" s="2783"/>
      <c r="B269" s="2764"/>
      <c r="C269" s="567"/>
      <c r="D269" s="2764"/>
      <c r="E269" s="3401"/>
      <c r="F269" s="2773" t="s">
        <v>1099</v>
      </c>
      <c r="G269" s="702">
        <v>150000</v>
      </c>
      <c r="H269" s="2774" t="s">
        <v>21</v>
      </c>
      <c r="I269" s="2829">
        <v>6</v>
      </c>
      <c r="J269" s="2774" t="s">
        <v>21</v>
      </c>
      <c r="K269" s="2775">
        <v>2</v>
      </c>
      <c r="L269" s="2789"/>
      <c r="M269" s="2790"/>
      <c r="N269" s="2778"/>
      <c r="O269" s="2779" t="s">
        <v>22</v>
      </c>
      <c r="P269" s="2065">
        <f t="shared" si="20"/>
        <v>1800000</v>
      </c>
      <c r="Q269" s="694"/>
      <c r="R269" s="694"/>
      <c r="S269" s="695"/>
      <c r="T269" s="2780"/>
    </row>
    <row r="270" spans="1:26" s="2772" customFormat="1" ht="14.45" customHeight="1">
      <c r="A270" s="2783"/>
      <c r="B270" s="2764"/>
      <c r="C270" s="567"/>
      <c r="D270" s="2764"/>
      <c r="E270" s="3401"/>
      <c r="F270" s="2773" t="s">
        <v>1100</v>
      </c>
      <c r="G270" s="702">
        <v>378000</v>
      </c>
      <c r="H270" s="2774" t="s">
        <v>21</v>
      </c>
      <c r="I270" s="2825">
        <v>1</v>
      </c>
      <c r="J270" s="2774"/>
      <c r="K270" s="2788"/>
      <c r="L270" s="2789"/>
      <c r="M270" s="2790"/>
      <c r="N270" s="2778"/>
      <c r="O270" s="2779" t="s">
        <v>22</v>
      </c>
      <c r="P270" s="2065">
        <f t="shared" si="20"/>
        <v>378000</v>
      </c>
      <c r="Q270" s="694"/>
      <c r="R270" s="694"/>
      <c r="S270" s="695"/>
      <c r="T270" s="2780"/>
    </row>
    <row r="271" spans="1:26" s="2772" customFormat="1" ht="14.45" customHeight="1">
      <c r="A271" s="2783"/>
      <c r="B271" s="2764"/>
      <c r="C271" s="567"/>
      <c r="D271" s="2764"/>
      <c r="E271" s="3401"/>
      <c r="F271" s="2773" t="s">
        <v>1101</v>
      </c>
      <c r="G271" s="702">
        <v>150000</v>
      </c>
      <c r="H271" s="2774" t="s">
        <v>21</v>
      </c>
      <c r="I271" s="2829">
        <v>6</v>
      </c>
      <c r="J271" s="2774" t="s">
        <v>21</v>
      </c>
      <c r="K271" s="2775">
        <v>2</v>
      </c>
      <c r="L271" s="2789"/>
      <c r="M271" s="2790"/>
      <c r="N271" s="2778"/>
      <c r="O271" s="2779" t="s">
        <v>22</v>
      </c>
      <c r="P271" s="2065">
        <f t="shared" si="20"/>
        <v>1800000</v>
      </c>
      <c r="Q271" s="694"/>
      <c r="R271" s="694"/>
      <c r="S271" s="695"/>
      <c r="T271" s="2780"/>
    </row>
    <row r="272" spans="1:26" s="2772" customFormat="1" ht="14.45" customHeight="1">
      <c r="A272" s="2783"/>
      <c r="B272" s="2764"/>
      <c r="C272" s="567"/>
      <c r="D272" s="2764"/>
      <c r="E272" s="3401"/>
      <c r="F272" s="2773" t="s">
        <v>1073</v>
      </c>
      <c r="G272" s="702">
        <v>150000</v>
      </c>
      <c r="H272" s="2774" t="s">
        <v>21</v>
      </c>
      <c r="I272" s="2829">
        <v>6</v>
      </c>
      <c r="J272" s="2774" t="s">
        <v>21</v>
      </c>
      <c r="K272" s="2775">
        <v>1</v>
      </c>
      <c r="L272" s="2789"/>
      <c r="M272" s="2790"/>
      <c r="N272" s="2778"/>
      <c r="O272" s="2779" t="s">
        <v>22</v>
      </c>
      <c r="P272" s="2065">
        <f t="shared" si="20"/>
        <v>900000</v>
      </c>
      <c r="Q272" s="694"/>
      <c r="R272" s="694"/>
      <c r="S272" s="695"/>
      <c r="T272" s="2780"/>
      <c r="V272" s="2830"/>
    </row>
    <row r="273" spans="1:24" s="2772" customFormat="1" ht="14.45" customHeight="1">
      <c r="A273" s="2783"/>
      <c r="B273" s="2764"/>
      <c r="C273" s="567"/>
      <c r="D273" s="2764"/>
      <c r="E273" s="3401"/>
      <c r="F273" s="2773" t="s">
        <v>1102</v>
      </c>
      <c r="G273" s="702">
        <v>150000</v>
      </c>
      <c r="H273" s="2774" t="s">
        <v>21</v>
      </c>
      <c r="I273" s="2829">
        <v>6</v>
      </c>
      <c r="J273" s="2774" t="s">
        <v>21</v>
      </c>
      <c r="K273" s="2775">
        <v>1</v>
      </c>
      <c r="L273" s="2789"/>
      <c r="M273" s="2790"/>
      <c r="N273" s="2778"/>
      <c r="O273" s="2779" t="s">
        <v>22</v>
      </c>
      <c r="P273" s="2065">
        <f t="shared" si="20"/>
        <v>900000</v>
      </c>
      <c r="Q273" s="694"/>
      <c r="R273" s="694"/>
      <c r="S273" s="695"/>
      <c r="T273" s="2780"/>
    </row>
    <row r="274" spans="1:24" s="2772" customFormat="1" ht="14.45" customHeight="1">
      <c r="A274" s="2783"/>
      <c r="B274" s="2764"/>
      <c r="C274" s="567"/>
      <c r="D274" s="2764"/>
      <c r="E274" s="3401"/>
      <c r="F274" s="2773" t="s">
        <v>1074</v>
      </c>
      <c r="G274" s="702">
        <v>2500000</v>
      </c>
      <c r="H274" s="2774" t="s">
        <v>21</v>
      </c>
      <c r="I274" s="2825">
        <v>1</v>
      </c>
      <c r="J274" s="2774"/>
      <c r="K274" s="2788"/>
      <c r="L274" s="2789"/>
      <c r="M274" s="2790"/>
      <c r="N274" s="2778"/>
      <c r="O274" s="2779" t="s">
        <v>22</v>
      </c>
      <c r="P274" s="2065">
        <f t="shared" si="20"/>
        <v>2500000</v>
      </c>
      <c r="Q274" s="694"/>
      <c r="R274" s="694"/>
      <c r="S274" s="695"/>
      <c r="T274" s="2780"/>
    </row>
    <row r="275" spans="1:24" s="2772" customFormat="1" ht="14.45" customHeight="1">
      <c r="A275" s="2783"/>
      <c r="B275" s="2764"/>
      <c r="C275" s="567"/>
      <c r="D275" s="2764"/>
      <c r="E275" s="3401"/>
      <c r="F275" s="2773" t="s">
        <v>1103</v>
      </c>
      <c r="G275" s="702">
        <v>7000</v>
      </c>
      <c r="H275" s="2774" t="s">
        <v>21</v>
      </c>
      <c r="I275" s="2829">
        <v>10</v>
      </c>
      <c r="J275" s="2774" t="s">
        <v>21</v>
      </c>
      <c r="K275" s="2775">
        <v>3</v>
      </c>
      <c r="L275" s="2789"/>
      <c r="M275" s="2790"/>
      <c r="N275" s="2778"/>
      <c r="O275" s="2779" t="s">
        <v>22</v>
      </c>
      <c r="P275" s="2065">
        <f t="shared" si="20"/>
        <v>210000</v>
      </c>
      <c r="Q275" s="694"/>
      <c r="R275" s="694"/>
      <c r="S275" s="695"/>
      <c r="T275" s="2780"/>
      <c r="V275" s="2810"/>
    </row>
    <row r="276" spans="1:24" s="2772" customFormat="1" ht="14.45" customHeight="1">
      <c r="A276" s="2783"/>
      <c r="B276" s="2764"/>
      <c r="C276" s="567"/>
      <c r="D276" s="2764"/>
      <c r="E276" s="3401"/>
      <c r="F276" s="2773" t="s">
        <v>1104</v>
      </c>
      <c r="G276" s="702">
        <v>7134000</v>
      </c>
      <c r="H276" s="2774" t="s">
        <v>21</v>
      </c>
      <c r="I276" s="2825">
        <v>1</v>
      </c>
      <c r="J276" s="2774"/>
      <c r="K276" s="2788"/>
      <c r="L276" s="2789"/>
      <c r="M276" s="2790"/>
      <c r="N276" s="2778"/>
      <c r="O276" s="2779" t="s">
        <v>22</v>
      </c>
      <c r="P276" s="2065">
        <f t="shared" si="20"/>
        <v>7134000</v>
      </c>
      <c r="Q276" s="694"/>
      <c r="R276" s="694"/>
      <c r="S276" s="695"/>
      <c r="T276" s="2780"/>
    </row>
    <row r="277" spans="1:24" s="2772" customFormat="1" ht="14.45" customHeight="1">
      <c r="A277" s="2783"/>
      <c r="B277" s="2764"/>
      <c r="C277" s="567"/>
      <c r="D277" s="2764"/>
      <c r="E277" s="3401"/>
      <c r="F277" s="2765" t="s">
        <v>1105</v>
      </c>
      <c r="G277" s="686"/>
      <c r="H277" s="2766"/>
      <c r="I277" s="2785"/>
      <c r="J277" s="2766"/>
      <c r="K277" s="2785"/>
      <c r="L277" s="2786"/>
      <c r="M277" s="2787"/>
      <c r="N277" s="2769"/>
      <c r="O277" s="2770"/>
      <c r="P277" s="2771">
        <f>SUM(P278:P282)</f>
        <v>14000000</v>
      </c>
      <c r="Q277" s="653">
        <f>P277</f>
        <v>14000000</v>
      </c>
      <c r="R277" s="653">
        <v>0</v>
      </c>
      <c r="S277" s="2598">
        <f>Q277-R277</f>
        <v>14000000</v>
      </c>
      <c r="T277" s="2649"/>
    </row>
    <row r="278" spans="1:24" s="2772" customFormat="1" ht="14.45" customHeight="1">
      <c r="A278" s="2783"/>
      <c r="B278" s="2764"/>
      <c r="C278" s="567"/>
      <c r="D278" s="2764"/>
      <c r="E278" s="3401"/>
      <c r="F278" s="2773" t="s">
        <v>1106</v>
      </c>
      <c r="G278" s="1552">
        <v>3500000</v>
      </c>
      <c r="H278" s="2804" t="s">
        <v>21</v>
      </c>
      <c r="I278" s="2825">
        <v>1</v>
      </c>
      <c r="J278" s="2804"/>
      <c r="K278" s="2805"/>
      <c r="L278" s="2806"/>
      <c r="M278" s="2807"/>
      <c r="N278" s="2808"/>
      <c r="O278" s="2809" t="s">
        <v>22</v>
      </c>
      <c r="P278" s="2112">
        <f t="shared" ref="P278:P282" si="21">PRODUCT(G278:N278)</f>
        <v>3500000</v>
      </c>
      <c r="Q278" s="666"/>
      <c r="R278" s="666"/>
      <c r="S278" s="667"/>
      <c r="T278" s="2827"/>
    </row>
    <row r="279" spans="1:24" s="2772" customFormat="1" ht="14.45" customHeight="1">
      <c r="A279" s="2812"/>
      <c r="B279" s="2813"/>
      <c r="C279" s="2814"/>
      <c r="D279" s="2813"/>
      <c r="E279" s="3403"/>
      <c r="F279" s="2815" t="s">
        <v>1075</v>
      </c>
      <c r="G279" s="1556">
        <v>100000</v>
      </c>
      <c r="H279" s="3484" t="s">
        <v>21</v>
      </c>
      <c r="I279" s="3485">
        <v>15</v>
      </c>
      <c r="J279" s="3484"/>
      <c r="K279" s="3486"/>
      <c r="L279" s="3487"/>
      <c r="M279" s="3488"/>
      <c r="N279" s="3489"/>
      <c r="O279" s="3490" t="s">
        <v>22</v>
      </c>
      <c r="P279" s="3491">
        <f t="shared" si="21"/>
        <v>1500000</v>
      </c>
      <c r="Q279" s="1561"/>
      <c r="R279" s="1561"/>
      <c r="S279" s="1562"/>
      <c r="T279" s="3492"/>
    </row>
    <row r="280" spans="1:24" s="2772" customFormat="1" ht="14.45" customHeight="1">
      <c r="A280" s="2783"/>
      <c r="B280" s="2764"/>
      <c r="C280" s="567"/>
      <c r="D280" s="2764"/>
      <c r="E280" s="3401"/>
      <c r="F280" s="2773" t="s">
        <v>1107</v>
      </c>
      <c r="G280" s="1552">
        <v>50000</v>
      </c>
      <c r="H280" s="2804" t="s">
        <v>21</v>
      </c>
      <c r="I280" s="2826">
        <v>100</v>
      </c>
      <c r="J280" s="2804"/>
      <c r="K280" s="2805"/>
      <c r="L280" s="2806"/>
      <c r="M280" s="2807"/>
      <c r="N280" s="2808"/>
      <c r="O280" s="2809" t="s">
        <v>22</v>
      </c>
      <c r="P280" s="2112">
        <f t="shared" si="21"/>
        <v>5000000</v>
      </c>
      <c r="Q280" s="666"/>
      <c r="R280" s="666"/>
      <c r="S280" s="667"/>
      <c r="T280" s="2827"/>
    </row>
    <row r="281" spans="1:24" s="2772" customFormat="1" ht="14.45" customHeight="1">
      <c r="A281" s="2783"/>
      <c r="B281" s="2764"/>
      <c r="C281" s="567"/>
      <c r="D281" s="2764"/>
      <c r="E281" s="3401"/>
      <c r="F281" s="2773" t="s">
        <v>1108</v>
      </c>
      <c r="G281" s="1552">
        <v>350000</v>
      </c>
      <c r="H281" s="2804" t="s">
        <v>21</v>
      </c>
      <c r="I281" s="2775">
        <v>10</v>
      </c>
      <c r="J281" s="2804"/>
      <c r="K281" s="2805"/>
      <c r="L281" s="2806"/>
      <c r="M281" s="2807"/>
      <c r="N281" s="2808"/>
      <c r="O281" s="2809" t="s">
        <v>22</v>
      </c>
      <c r="P281" s="2112">
        <f t="shared" si="21"/>
        <v>3500000</v>
      </c>
      <c r="Q281" s="666"/>
      <c r="R281" s="666"/>
      <c r="S281" s="667"/>
      <c r="T281" s="2827"/>
    </row>
    <row r="282" spans="1:24" s="2772" customFormat="1" ht="14.45" customHeight="1">
      <c r="A282" s="2783"/>
      <c r="B282" s="2764"/>
      <c r="C282" s="567"/>
      <c r="D282" s="2764"/>
      <c r="E282" s="3401"/>
      <c r="F282" s="2773" t="s">
        <v>1097</v>
      </c>
      <c r="G282" s="1552">
        <v>500000</v>
      </c>
      <c r="H282" s="2804" t="s">
        <v>21</v>
      </c>
      <c r="I282" s="2825">
        <v>1</v>
      </c>
      <c r="J282" s="2804"/>
      <c r="K282" s="2805"/>
      <c r="L282" s="2806"/>
      <c r="M282" s="2807"/>
      <c r="N282" s="2808"/>
      <c r="O282" s="2809" t="s">
        <v>22</v>
      </c>
      <c r="P282" s="2112">
        <f t="shared" si="21"/>
        <v>500000</v>
      </c>
      <c r="Q282" s="666"/>
      <c r="R282" s="666"/>
      <c r="S282" s="667"/>
      <c r="T282" s="2827"/>
    </row>
    <row r="283" spans="1:24" s="2772" customFormat="1" ht="14.45" customHeight="1">
      <c r="A283" s="2783"/>
      <c r="B283" s="2764"/>
      <c r="C283" s="567"/>
      <c r="D283" s="2764"/>
      <c r="E283" s="3401"/>
      <c r="F283" s="2765" t="s">
        <v>1109</v>
      </c>
      <c r="G283" s="686"/>
      <c r="H283" s="2766"/>
      <c r="I283" s="2785"/>
      <c r="J283" s="2766"/>
      <c r="K283" s="2785"/>
      <c r="L283" s="2786"/>
      <c r="M283" s="2787"/>
      <c r="N283" s="2769"/>
      <c r="O283" s="2770"/>
      <c r="P283" s="2771">
        <f>SUM(P284:P288)</f>
        <v>10000000</v>
      </c>
      <c r="Q283" s="653">
        <f>P283</f>
        <v>10000000</v>
      </c>
      <c r="R283" s="653">
        <v>20000000</v>
      </c>
      <c r="S283" s="2598">
        <f>Q283-R283</f>
        <v>-10000000</v>
      </c>
      <c r="T283" s="2649">
        <f>S283/R283</f>
        <v>-0.5</v>
      </c>
    </row>
    <row r="284" spans="1:24" s="2772" customFormat="1" ht="14.45" customHeight="1">
      <c r="A284" s="2783"/>
      <c r="B284" s="2764"/>
      <c r="C284" s="567"/>
      <c r="D284" s="2764"/>
      <c r="E284" s="3401"/>
      <c r="F284" s="2773" t="s">
        <v>1095</v>
      </c>
      <c r="G284" s="702">
        <v>1000000</v>
      </c>
      <c r="H284" s="2774" t="s">
        <v>21</v>
      </c>
      <c r="I284" s="2831">
        <v>1</v>
      </c>
      <c r="J284" s="2774"/>
      <c r="K284" s="2788"/>
      <c r="L284" s="2789"/>
      <c r="M284" s="2790"/>
      <c r="N284" s="2778"/>
      <c r="O284" s="2779" t="s">
        <v>22</v>
      </c>
      <c r="P284" s="2065">
        <f t="shared" ref="P284:P288" si="22">PRODUCT(G284:N284)</f>
        <v>1000000</v>
      </c>
      <c r="Q284" s="694"/>
      <c r="R284" s="694"/>
      <c r="S284" s="695"/>
      <c r="T284" s="2780"/>
    </row>
    <row r="285" spans="1:24" s="2772" customFormat="1" ht="14.45" customHeight="1">
      <c r="A285" s="2783"/>
      <c r="B285" s="2764"/>
      <c r="C285" s="567"/>
      <c r="D285" s="2764"/>
      <c r="E285" s="3398"/>
      <c r="F285" s="2773" t="s">
        <v>1110</v>
      </c>
      <c r="G285" s="702">
        <v>3000000</v>
      </c>
      <c r="H285" s="2774" t="s">
        <v>21</v>
      </c>
      <c r="I285" s="2775">
        <v>1</v>
      </c>
      <c r="J285" s="2774"/>
      <c r="K285" s="2788"/>
      <c r="L285" s="2789"/>
      <c r="M285" s="2790"/>
      <c r="N285" s="2778"/>
      <c r="O285" s="2779" t="s">
        <v>22</v>
      </c>
      <c r="P285" s="2065">
        <f t="shared" si="22"/>
        <v>3000000</v>
      </c>
      <c r="Q285" s="694"/>
      <c r="R285" s="694"/>
      <c r="S285" s="695"/>
      <c r="T285" s="2780"/>
    </row>
    <row r="286" spans="1:24" s="2772" customFormat="1" ht="14.45" customHeight="1">
      <c r="A286" s="2783"/>
      <c r="B286" s="2764"/>
      <c r="C286" s="567"/>
      <c r="D286" s="2764"/>
      <c r="E286" s="3398"/>
      <c r="F286" s="2773" t="s">
        <v>1111</v>
      </c>
      <c r="G286" s="702">
        <v>2000000</v>
      </c>
      <c r="H286" s="2774" t="s">
        <v>21</v>
      </c>
      <c r="I286" s="2825">
        <v>1</v>
      </c>
      <c r="J286" s="2774"/>
      <c r="K286" s="2788"/>
      <c r="L286" s="2789"/>
      <c r="M286" s="2790"/>
      <c r="N286" s="2778"/>
      <c r="O286" s="2779" t="s">
        <v>22</v>
      </c>
      <c r="P286" s="2065">
        <f t="shared" si="22"/>
        <v>2000000</v>
      </c>
      <c r="Q286" s="694"/>
      <c r="R286" s="694"/>
      <c r="S286" s="695"/>
      <c r="T286" s="2780"/>
    </row>
    <row r="287" spans="1:24" s="2772" customFormat="1" ht="14.45" customHeight="1">
      <c r="A287" s="2783"/>
      <c r="B287" s="2764"/>
      <c r="C287" s="567"/>
      <c r="D287" s="2764"/>
      <c r="E287" s="3398"/>
      <c r="F287" s="2773" t="s">
        <v>1112</v>
      </c>
      <c r="G287" s="702">
        <v>100000</v>
      </c>
      <c r="H287" s="2774" t="s">
        <v>21</v>
      </c>
      <c r="I287" s="2788">
        <v>12</v>
      </c>
      <c r="J287" s="2774"/>
      <c r="K287" s="2788"/>
      <c r="L287" s="2789"/>
      <c r="M287" s="2790"/>
      <c r="N287" s="2778"/>
      <c r="O287" s="2779" t="s">
        <v>22</v>
      </c>
      <c r="P287" s="2065">
        <f t="shared" si="22"/>
        <v>1200000</v>
      </c>
      <c r="Q287" s="694"/>
      <c r="R287" s="694"/>
      <c r="S287" s="695"/>
      <c r="T287" s="2780"/>
      <c r="V287" s="2781"/>
    </row>
    <row r="288" spans="1:24" s="2772" customFormat="1" ht="14.45" customHeight="1">
      <c r="A288" s="2783"/>
      <c r="B288" s="2764"/>
      <c r="C288" s="567"/>
      <c r="D288" s="2764"/>
      <c r="E288" s="3398"/>
      <c r="F288" s="2773" t="s">
        <v>1076</v>
      </c>
      <c r="G288" s="702">
        <v>2800000</v>
      </c>
      <c r="H288" s="2774" t="s">
        <v>21</v>
      </c>
      <c r="I288" s="2775">
        <v>1</v>
      </c>
      <c r="J288" s="2774"/>
      <c r="K288" s="2788"/>
      <c r="L288" s="2789"/>
      <c r="M288" s="2790"/>
      <c r="N288" s="2778"/>
      <c r="O288" s="2779" t="s">
        <v>22</v>
      </c>
      <c r="P288" s="2065">
        <f t="shared" si="22"/>
        <v>2800000</v>
      </c>
      <c r="Q288" s="694"/>
      <c r="R288" s="694"/>
      <c r="S288" s="695"/>
      <c r="T288" s="2780"/>
      <c r="X288" s="2781">
        <f>P289+P294+P300</f>
        <v>56000000</v>
      </c>
    </row>
    <row r="289" spans="1:24" s="2772" customFormat="1" ht="14.45" customHeight="1">
      <c r="A289" s="2783"/>
      <c r="B289" s="2764"/>
      <c r="C289" s="567"/>
      <c r="D289" s="2764"/>
      <c r="E289" s="3398"/>
      <c r="F289" s="2765" t="s">
        <v>1113</v>
      </c>
      <c r="G289" s="686"/>
      <c r="H289" s="2766"/>
      <c r="I289" s="2785"/>
      <c r="J289" s="2766"/>
      <c r="K289" s="2785"/>
      <c r="L289" s="2786"/>
      <c r="M289" s="2787"/>
      <c r="N289" s="2769"/>
      <c r="O289" s="2770"/>
      <c r="P289" s="2771">
        <f>SUM(P290:P293)</f>
        <v>21000000</v>
      </c>
      <c r="Q289" s="653">
        <f>P289</f>
        <v>21000000</v>
      </c>
      <c r="R289" s="653">
        <v>12000000</v>
      </c>
      <c r="S289" s="2598">
        <f>Q289-R289</f>
        <v>9000000</v>
      </c>
      <c r="T289" s="2649">
        <f>S289/R289</f>
        <v>0.75</v>
      </c>
    </row>
    <row r="290" spans="1:24" s="2772" customFormat="1" ht="14.45" customHeight="1">
      <c r="A290" s="2783"/>
      <c r="B290" s="2764"/>
      <c r="C290" s="567"/>
      <c r="D290" s="2764"/>
      <c r="E290" s="3398"/>
      <c r="F290" s="2773" t="s">
        <v>1114</v>
      </c>
      <c r="G290" s="702">
        <v>2000000</v>
      </c>
      <c r="H290" s="2774" t="s">
        <v>21</v>
      </c>
      <c r="I290" s="2775">
        <v>1</v>
      </c>
      <c r="J290" s="2774"/>
      <c r="K290" s="2788"/>
      <c r="L290" s="2789"/>
      <c r="M290" s="2790"/>
      <c r="N290" s="2778"/>
      <c r="O290" s="2779" t="s">
        <v>22</v>
      </c>
      <c r="P290" s="2065">
        <f t="shared" ref="P290:P293" si="23">PRODUCT(G290:N290)</f>
        <v>2000000</v>
      </c>
      <c r="Q290" s="694"/>
      <c r="R290" s="694"/>
      <c r="S290" s="695"/>
      <c r="T290" s="2780"/>
    </row>
    <row r="291" spans="1:24" s="2772" customFormat="1" ht="14.45" customHeight="1">
      <c r="A291" s="2783"/>
      <c r="B291" s="2764"/>
      <c r="C291" s="567"/>
      <c r="D291" s="2764"/>
      <c r="E291" s="3398"/>
      <c r="F291" s="2773" t="s">
        <v>1115</v>
      </c>
      <c r="G291" s="702">
        <v>3000000</v>
      </c>
      <c r="H291" s="2774" t="s">
        <v>21</v>
      </c>
      <c r="I291" s="2775">
        <v>1</v>
      </c>
      <c r="J291" s="2774"/>
      <c r="K291" s="2788"/>
      <c r="L291" s="2789"/>
      <c r="M291" s="2790"/>
      <c r="N291" s="2778"/>
      <c r="O291" s="2779" t="s">
        <v>22</v>
      </c>
      <c r="P291" s="2065">
        <f t="shared" si="23"/>
        <v>3000000</v>
      </c>
      <c r="Q291" s="694"/>
      <c r="R291" s="694"/>
      <c r="S291" s="695"/>
      <c r="T291" s="2780"/>
    </row>
    <row r="292" spans="1:24" s="2772" customFormat="1" ht="14.45" customHeight="1">
      <c r="A292" s="2783"/>
      <c r="B292" s="2764"/>
      <c r="C292" s="567"/>
      <c r="D292" s="2764"/>
      <c r="E292" s="3398"/>
      <c r="F292" s="2773" t="s">
        <v>1077</v>
      </c>
      <c r="G292" s="702">
        <v>6000000</v>
      </c>
      <c r="H292" s="2774" t="s">
        <v>21</v>
      </c>
      <c r="I292" s="2775">
        <v>1</v>
      </c>
      <c r="J292" s="2774"/>
      <c r="K292" s="2788"/>
      <c r="L292" s="2789"/>
      <c r="M292" s="2790"/>
      <c r="N292" s="2778"/>
      <c r="O292" s="2779" t="s">
        <v>22</v>
      </c>
      <c r="P292" s="2065">
        <f t="shared" si="23"/>
        <v>6000000</v>
      </c>
      <c r="Q292" s="694"/>
      <c r="R292" s="694"/>
      <c r="S292" s="695"/>
      <c r="T292" s="2780"/>
    </row>
    <row r="293" spans="1:24" s="2772" customFormat="1" ht="14.45" customHeight="1">
      <c r="A293" s="2783"/>
      <c r="B293" s="2764"/>
      <c r="C293" s="567"/>
      <c r="D293" s="2764"/>
      <c r="E293" s="3398"/>
      <c r="F293" s="2773" t="s">
        <v>1116</v>
      </c>
      <c r="G293" s="702">
        <v>10000000</v>
      </c>
      <c r="H293" s="2774" t="s">
        <v>21</v>
      </c>
      <c r="I293" s="2775">
        <v>1</v>
      </c>
      <c r="J293" s="2774"/>
      <c r="K293" s="2788"/>
      <c r="L293" s="2789"/>
      <c r="M293" s="2790"/>
      <c r="N293" s="2778"/>
      <c r="O293" s="2779" t="s">
        <v>22</v>
      </c>
      <c r="P293" s="2065">
        <f t="shared" si="23"/>
        <v>10000000</v>
      </c>
      <c r="Q293" s="694"/>
      <c r="R293" s="694"/>
      <c r="S293" s="695"/>
      <c r="T293" s="2780"/>
    </row>
    <row r="294" spans="1:24" s="2772" customFormat="1" ht="14.45" customHeight="1">
      <c r="A294" s="2783"/>
      <c r="B294" s="2764"/>
      <c r="C294" s="567"/>
      <c r="D294" s="2764"/>
      <c r="E294" s="3398"/>
      <c r="F294" s="2765" t="s">
        <v>1081</v>
      </c>
      <c r="G294" s="686"/>
      <c r="H294" s="2766"/>
      <c r="I294" s="2785"/>
      <c r="J294" s="2766"/>
      <c r="K294" s="2785"/>
      <c r="L294" s="2786"/>
      <c r="M294" s="2787"/>
      <c r="N294" s="2769"/>
      <c r="O294" s="2770"/>
      <c r="P294" s="2771">
        <f>SUM(P295:P299)</f>
        <v>10000000</v>
      </c>
      <c r="Q294" s="653">
        <f>P294</f>
        <v>10000000</v>
      </c>
      <c r="R294" s="653">
        <v>7500000</v>
      </c>
      <c r="S294" s="2598">
        <f>Q294-R294</f>
        <v>2500000</v>
      </c>
      <c r="T294" s="2649">
        <f>S294/R294</f>
        <v>0.33333333333333331</v>
      </c>
    </row>
    <row r="295" spans="1:24" s="2772" customFormat="1" ht="14.45" customHeight="1">
      <c r="A295" s="2783"/>
      <c r="B295" s="2764"/>
      <c r="C295" s="567"/>
      <c r="D295" s="2764"/>
      <c r="E295" s="3398"/>
      <c r="F295" s="2773" t="s">
        <v>1078</v>
      </c>
      <c r="G295" s="1552">
        <v>300000</v>
      </c>
      <c r="H295" s="2804" t="s">
        <v>21</v>
      </c>
      <c r="I295" s="2805">
        <v>12</v>
      </c>
      <c r="J295" s="2804"/>
      <c r="K295" s="2807"/>
      <c r="L295" s="2806"/>
      <c r="M295" s="2807"/>
      <c r="N295" s="2808"/>
      <c r="O295" s="2809" t="s">
        <v>1041</v>
      </c>
      <c r="P295" s="2112">
        <f>PRODUCT(G295:N295)</f>
        <v>3600000</v>
      </c>
      <c r="Q295" s="694"/>
      <c r="R295" s="694"/>
      <c r="S295" s="695"/>
      <c r="T295" s="2780"/>
    </row>
    <row r="296" spans="1:24" s="2772" customFormat="1" ht="14.45" customHeight="1">
      <c r="A296" s="2783"/>
      <c r="B296" s="2764"/>
      <c r="C296" s="567"/>
      <c r="D296" s="2764"/>
      <c r="E296" s="3398"/>
      <c r="F296" s="2773" t="s">
        <v>1117</v>
      </c>
      <c r="G296" s="1552">
        <v>250000</v>
      </c>
      <c r="H296" s="2804" t="s">
        <v>21</v>
      </c>
      <c r="I296" s="2775">
        <v>2</v>
      </c>
      <c r="J296" s="2804"/>
      <c r="K296" s="2807"/>
      <c r="L296" s="2806"/>
      <c r="M296" s="2807"/>
      <c r="N296" s="2808"/>
      <c r="O296" s="2809" t="s">
        <v>1041</v>
      </c>
      <c r="P296" s="2112">
        <f t="shared" ref="P296:P299" si="24">PRODUCT(G296:N296)</f>
        <v>500000</v>
      </c>
      <c r="Q296" s="694"/>
      <c r="R296" s="694"/>
      <c r="S296" s="695"/>
      <c r="T296" s="2780"/>
    </row>
    <row r="297" spans="1:24" s="2772" customFormat="1" ht="14.45" customHeight="1">
      <c r="A297" s="2783"/>
      <c r="B297" s="2764"/>
      <c r="C297" s="567"/>
      <c r="D297" s="2764"/>
      <c r="E297" s="3398"/>
      <c r="F297" s="2773" t="s">
        <v>1118</v>
      </c>
      <c r="G297" s="1552">
        <v>3000000</v>
      </c>
      <c r="H297" s="2804" t="s">
        <v>21</v>
      </c>
      <c r="I297" s="2825">
        <v>1</v>
      </c>
      <c r="J297" s="2804"/>
      <c r="K297" s="2807"/>
      <c r="L297" s="2806"/>
      <c r="M297" s="2807"/>
      <c r="N297" s="2808"/>
      <c r="O297" s="2809" t="s">
        <v>1041</v>
      </c>
      <c r="P297" s="2112">
        <f t="shared" si="24"/>
        <v>3000000</v>
      </c>
      <c r="Q297" s="694"/>
      <c r="R297" s="694"/>
      <c r="S297" s="695"/>
      <c r="T297" s="2780"/>
    </row>
    <row r="298" spans="1:24" s="2772" customFormat="1" ht="14.45" customHeight="1">
      <c r="A298" s="2783"/>
      <c r="B298" s="2764"/>
      <c r="C298" s="567"/>
      <c r="D298" s="2764"/>
      <c r="E298" s="3398"/>
      <c r="F298" s="2773" t="s">
        <v>1119</v>
      </c>
      <c r="G298" s="1552">
        <v>2000000</v>
      </c>
      <c r="H298" s="2804" t="s">
        <v>21</v>
      </c>
      <c r="I298" s="2832">
        <v>1</v>
      </c>
      <c r="J298" s="2804"/>
      <c r="K298" s="2807"/>
      <c r="L298" s="2806"/>
      <c r="M298" s="2807"/>
      <c r="N298" s="2808"/>
      <c r="O298" s="2809" t="s">
        <v>1041</v>
      </c>
      <c r="P298" s="2112">
        <f t="shared" si="24"/>
        <v>2000000</v>
      </c>
      <c r="Q298" s="694"/>
      <c r="R298" s="694"/>
      <c r="S298" s="695"/>
      <c r="T298" s="2780"/>
    </row>
    <row r="299" spans="1:24" s="2772" customFormat="1" ht="14.45" customHeight="1">
      <c r="A299" s="2783"/>
      <c r="B299" s="2764"/>
      <c r="C299" s="567"/>
      <c r="D299" s="2764"/>
      <c r="E299" s="3398"/>
      <c r="F299" s="2773" t="s">
        <v>1120</v>
      </c>
      <c r="G299" s="1552">
        <v>900000</v>
      </c>
      <c r="H299" s="2804" t="s">
        <v>21</v>
      </c>
      <c r="I299" s="2833">
        <v>1</v>
      </c>
      <c r="J299" s="2804"/>
      <c r="K299" s="2807"/>
      <c r="L299" s="2806"/>
      <c r="M299" s="2807"/>
      <c r="N299" s="2808"/>
      <c r="O299" s="2809" t="s">
        <v>1037</v>
      </c>
      <c r="P299" s="2112">
        <f t="shared" si="24"/>
        <v>900000</v>
      </c>
      <c r="Q299" s="694"/>
      <c r="R299" s="694"/>
      <c r="S299" s="695"/>
      <c r="T299" s="2780"/>
      <c r="X299" s="2834"/>
    </row>
    <row r="300" spans="1:24" s="2772" customFormat="1" ht="14.45" customHeight="1">
      <c r="A300" s="2783"/>
      <c r="B300" s="2764"/>
      <c r="C300" s="567"/>
      <c r="D300" s="2764"/>
      <c r="E300" s="3398"/>
      <c r="F300" s="2765" t="s">
        <v>1079</v>
      </c>
      <c r="G300" s="686"/>
      <c r="H300" s="2766"/>
      <c r="I300" s="2785"/>
      <c r="J300" s="2766"/>
      <c r="K300" s="2785"/>
      <c r="L300" s="2786"/>
      <c r="M300" s="2787"/>
      <c r="N300" s="2769"/>
      <c r="O300" s="2770"/>
      <c r="P300" s="2771">
        <f>SUM(P301:P303)</f>
        <v>25000000</v>
      </c>
      <c r="Q300" s="653">
        <f>P300</f>
        <v>25000000</v>
      </c>
      <c r="R300" s="653">
        <v>0</v>
      </c>
      <c r="S300" s="2598">
        <f>Q300-R300</f>
        <v>25000000</v>
      </c>
      <c r="T300" s="2649"/>
    </row>
    <row r="301" spans="1:24" s="2772" customFormat="1" ht="14.45" customHeight="1">
      <c r="A301" s="2783"/>
      <c r="B301" s="2764"/>
      <c r="C301" s="567"/>
      <c r="D301" s="2764"/>
      <c r="E301" s="3398"/>
      <c r="F301" s="2773" t="s">
        <v>1082</v>
      </c>
      <c r="G301" s="702">
        <v>600000</v>
      </c>
      <c r="H301" s="2774" t="s">
        <v>21</v>
      </c>
      <c r="I301" s="2788">
        <v>12</v>
      </c>
      <c r="J301" s="2774"/>
      <c r="K301" s="2790"/>
      <c r="L301" s="2789"/>
      <c r="M301" s="2790"/>
      <c r="N301" s="2778"/>
      <c r="O301" s="2779" t="s">
        <v>1041</v>
      </c>
      <c r="P301" s="2065">
        <f>PRODUCT(G301:N301)</f>
        <v>7200000</v>
      </c>
      <c r="Q301" s="694"/>
      <c r="R301" s="694"/>
      <c r="S301" s="695"/>
      <c r="T301" s="2780"/>
    </row>
    <row r="302" spans="1:24" s="2772" customFormat="1" ht="14.45" customHeight="1">
      <c r="A302" s="2783"/>
      <c r="B302" s="2764"/>
      <c r="C302" s="567"/>
      <c r="D302" s="2764"/>
      <c r="E302" s="3398"/>
      <c r="F302" s="2773" t="s">
        <v>1080</v>
      </c>
      <c r="G302" s="1552">
        <v>2000000</v>
      </c>
      <c r="H302" s="2804" t="s">
        <v>21</v>
      </c>
      <c r="I302" s="2825">
        <v>1</v>
      </c>
      <c r="J302" s="2804"/>
      <c r="K302" s="2807"/>
      <c r="L302" s="2806"/>
      <c r="M302" s="2807"/>
      <c r="N302" s="2808"/>
      <c r="O302" s="2809" t="s">
        <v>1041</v>
      </c>
      <c r="P302" s="2112">
        <f t="shared" ref="P302:P306" si="25">PRODUCT(G302:N302)</f>
        <v>2000000</v>
      </c>
      <c r="Q302" s="694"/>
      <c r="R302" s="694"/>
      <c r="S302" s="695"/>
      <c r="T302" s="2780"/>
    </row>
    <row r="303" spans="1:24" s="2772" customFormat="1" ht="14.45" customHeight="1">
      <c r="A303" s="2783"/>
      <c r="B303" s="2764"/>
      <c r="C303" s="567"/>
      <c r="D303" s="2764"/>
      <c r="E303" s="3398"/>
      <c r="F303" s="2773" t="s">
        <v>1121</v>
      </c>
      <c r="G303" s="1552">
        <v>15800000</v>
      </c>
      <c r="H303" s="2804" t="s">
        <v>21</v>
      </c>
      <c r="I303" s="2775">
        <v>1</v>
      </c>
      <c r="J303" s="2804"/>
      <c r="K303" s="2807"/>
      <c r="L303" s="2806"/>
      <c r="M303" s="2807"/>
      <c r="N303" s="2808"/>
      <c r="O303" s="2809" t="s">
        <v>1037</v>
      </c>
      <c r="P303" s="2112">
        <f t="shared" si="25"/>
        <v>15800000</v>
      </c>
      <c r="Q303" s="694"/>
      <c r="R303" s="694"/>
      <c r="S303" s="695"/>
      <c r="T303" s="2780"/>
      <c r="X303" s="2828"/>
    </row>
    <row r="304" spans="1:24" s="2772" customFormat="1" ht="14.45" customHeight="1">
      <c r="A304" s="2783"/>
      <c r="B304" s="2764"/>
      <c r="C304" s="567"/>
      <c r="D304" s="2764"/>
      <c r="E304" s="3399"/>
      <c r="F304" s="2835" t="s">
        <v>2321</v>
      </c>
      <c r="G304" s="2836"/>
      <c r="H304" s="2837"/>
      <c r="I304" s="2838"/>
      <c r="J304" s="2837"/>
      <c r="K304" s="2839"/>
      <c r="L304" s="2840"/>
      <c r="M304" s="2839"/>
      <c r="N304" s="2841"/>
      <c r="O304" s="2841"/>
      <c r="P304" s="2842">
        <f>SUM(P305:P306)</f>
        <v>30000000</v>
      </c>
      <c r="Q304" s="653">
        <f>P304</f>
        <v>30000000</v>
      </c>
      <c r="R304" s="2843">
        <v>10000000</v>
      </c>
      <c r="S304" s="2598">
        <f>Q304-R304</f>
        <v>20000000</v>
      </c>
      <c r="T304" s="2649">
        <f>S304/R304</f>
        <v>2</v>
      </c>
    </row>
    <row r="305" spans="1:24" s="2772" customFormat="1" ht="14.45" customHeight="1">
      <c r="A305" s="2783"/>
      <c r="B305" s="2764"/>
      <c r="C305" s="567"/>
      <c r="D305" s="2764"/>
      <c r="E305" s="3399"/>
      <c r="F305" s="565" t="s">
        <v>123</v>
      </c>
      <c r="G305" s="2844">
        <v>2000000</v>
      </c>
      <c r="H305" s="2845" t="s">
        <v>51</v>
      </c>
      <c r="I305" s="2846">
        <v>10</v>
      </c>
      <c r="J305" s="2845"/>
      <c r="K305" s="2847"/>
      <c r="L305" s="2848"/>
      <c r="M305" s="2847"/>
      <c r="N305" s="2849"/>
      <c r="O305" s="2849" t="s">
        <v>122</v>
      </c>
      <c r="P305" s="2065">
        <f t="shared" si="25"/>
        <v>20000000</v>
      </c>
      <c r="Q305" s="2850"/>
      <c r="R305" s="2850"/>
      <c r="S305" s="2851"/>
      <c r="T305" s="2852"/>
    </row>
    <row r="306" spans="1:24" s="2772" customFormat="1" ht="14.45" customHeight="1">
      <c r="A306" s="2783"/>
      <c r="B306" s="2764"/>
      <c r="C306" s="567"/>
      <c r="D306" s="2764"/>
      <c r="E306" s="3400"/>
      <c r="F306" s="2853" t="s">
        <v>126</v>
      </c>
      <c r="G306" s="2854">
        <v>1000000</v>
      </c>
      <c r="H306" s="2855" t="s">
        <v>125</v>
      </c>
      <c r="I306" s="2856">
        <v>10</v>
      </c>
      <c r="J306" s="2855"/>
      <c r="K306" s="2857"/>
      <c r="L306" s="2858"/>
      <c r="M306" s="2857"/>
      <c r="N306" s="2859"/>
      <c r="O306" s="2859" t="s">
        <v>124</v>
      </c>
      <c r="P306" s="2065">
        <f t="shared" si="25"/>
        <v>10000000</v>
      </c>
      <c r="Q306" s="2860"/>
      <c r="R306" s="2860"/>
      <c r="S306" s="2861"/>
      <c r="T306" s="2862"/>
    </row>
    <row r="307" spans="1:24" ht="14.45" customHeight="1">
      <c r="A307" s="2783"/>
      <c r="B307" s="2764"/>
      <c r="C307" s="567"/>
      <c r="D307" s="2764"/>
      <c r="E307" s="3637" t="s">
        <v>3023</v>
      </c>
      <c r="F307" s="3638"/>
      <c r="G307" s="3638"/>
      <c r="H307" s="3638"/>
      <c r="I307" s="3638"/>
      <c r="J307" s="3638"/>
      <c r="K307" s="3638"/>
      <c r="L307" s="3638"/>
      <c r="M307" s="3638"/>
      <c r="N307" s="3638"/>
      <c r="O307" s="3638"/>
      <c r="P307" s="3639"/>
      <c r="Q307" s="1154">
        <f>P308</f>
        <v>10000000</v>
      </c>
      <c r="R307" s="1154">
        <v>0</v>
      </c>
      <c r="S307" s="1155">
        <v>10000000</v>
      </c>
      <c r="T307" s="542"/>
    </row>
    <row r="308" spans="1:24" s="2772" customFormat="1" ht="14.45" customHeight="1">
      <c r="A308" s="2783"/>
      <c r="B308" s="2764"/>
      <c r="C308" s="567"/>
      <c r="D308" s="2764"/>
      <c r="E308" s="3404"/>
      <c r="F308" s="2765" t="s">
        <v>1122</v>
      </c>
      <c r="G308" s="686"/>
      <c r="H308" s="2766"/>
      <c r="I308" s="2803"/>
      <c r="J308" s="2766"/>
      <c r="K308" s="2785"/>
      <c r="L308" s="2786"/>
      <c r="M308" s="2787"/>
      <c r="N308" s="2769"/>
      <c r="O308" s="2770"/>
      <c r="P308" s="2771">
        <f>SUM(P309:P310)</f>
        <v>10000000</v>
      </c>
      <c r="Q308" s="653">
        <f>P308</f>
        <v>10000000</v>
      </c>
      <c r="R308" s="653">
        <v>0</v>
      </c>
      <c r="S308" s="2598">
        <f>Q308-R308</f>
        <v>10000000</v>
      </c>
      <c r="T308" s="2649"/>
    </row>
    <row r="309" spans="1:24" s="2772" customFormat="1" ht="14.45" customHeight="1">
      <c r="A309" s="2783"/>
      <c r="B309" s="2764"/>
      <c r="C309" s="2863"/>
      <c r="D309" s="2764"/>
      <c r="E309" s="3405"/>
      <c r="F309" s="2773" t="s">
        <v>1123</v>
      </c>
      <c r="G309" s="702">
        <v>4500000</v>
      </c>
      <c r="H309" s="2774" t="s">
        <v>21</v>
      </c>
      <c r="I309" s="2775">
        <v>1</v>
      </c>
      <c r="J309" s="2774"/>
      <c r="K309" s="2774"/>
      <c r="L309" s="2777"/>
      <c r="M309" s="2774"/>
      <c r="N309" s="2778"/>
      <c r="O309" s="2779" t="s">
        <v>1036</v>
      </c>
      <c r="P309" s="2640">
        <f t="shared" ref="P309:P310" si="26">G309*I309</f>
        <v>4500000</v>
      </c>
      <c r="Q309" s="694"/>
      <c r="R309" s="694"/>
      <c r="S309" s="695"/>
      <c r="T309" s="2780"/>
    </row>
    <row r="310" spans="1:24" s="2772" customFormat="1" ht="14.45" customHeight="1">
      <c r="A310" s="2783"/>
      <c r="B310" s="2764"/>
      <c r="C310" s="2864"/>
      <c r="D310" s="2813"/>
      <c r="E310" s="3406"/>
      <c r="F310" s="2815" t="s">
        <v>1124</v>
      </c>
      <c r="G310" s="893">
        <v>500000</v>
      </c>
      <c r="H310" s="2816" t="s">
        <v>21</v>
      </c>
      <c r="I310" s="2865">
        <v>11</v>
      </c>
      <c r="J310" s="2816"/>
      <c r="K310" s="2820"/>
      <c r="L310" s="2819"/>
      <c r="M310" s="2820"/>
      <c r="N310" s="2821"/>
      <c r="O310" s="2822" t="s">
        <v>22</v>
      </c>
      <c r="P310" s="2823">
        <f t="shared" si="26"/>
        <v>5500000</v>
      </c>
      <c r="Q310" s="712"/>
      <c r="R310" s="712"/>
      <c r="S310" s="713"/>
      <c r="T310" s="2824"/>
    </row>
    <row r="311" spans="1:24" s="128" customFormat="1" ht="14.45" customHeight="1">
      <c r="A311" s="2783"/>
      <c r="B311" s="2764"/>
      <c r="C311" s="3634" t="s">
        <v>127</v>
      </c>
      <c r="D311" s="3635"/>
      <c r="E311" s="3635"/>
      <c r="F311" s="3635"/>
      <c r="G311" s="3635"/>
      <c r="H311" s="3635"/>
      <c r="I311" s="3635"/>
      <c r="J311" s="3635"/>
      <c r="K311" s="3635"/>
      <c r="L311" s="3635"/>
      <c r="M311" s="3635"/>
      <c r="N311" s="3635"/>
      <c r="O311" s="3635"/>
      <c r="P311" s="3636"/>
      <c r="Q311" s="866">
        <f>Q312</f>
        <v>900000</v>
      </c>
      <c r="R311" s="866">
        <f>R312</f>
        <v>179424000</v>
      </c>
      <c r="S311" s="924">
        <f>Q311-R311</f>
        <v>-178524000</v>
      </c>
      <c r="T311" s="925">
        <f>S311/R311</f>
        <v>-0.994983948635634</v>
      </c>
    </row>
    <row r="312" spans="1:24" s="128" customFormat="1" ht="14.45" customHeight="1">
      <c r="A312" s="2783"/>
      <c r="B312" s="2764"/>
      <c r="C312" s="844"/>
      <c r="D312" s="635" t="s">
        <v>128</v>
      </c>
      <c r="E312" s="2229"/>
      <c r="F312" s="1269"/>
      <c r="G312" s="636"/>
      <c r="H312" s="635"/>
      <c r="I312" s="635"/>
      <c r="J312" s="635"/>
      <c r="K312" s="635"/>
      <c r="L312" s="1268"/>
      <c r="M312" s="635"/>
      <c r="N312" s="637"/>
      <c r="O312" s="637"/>
      <c r="P312" s="635"/>
      <c r="Q312" s="638">
        <f>Q313</f>
        <v>900000</v>
      </c>
      <c r="R312" s="638">
        <f>R313</f>
        <v>179424000</v>
      </c>
      <c r="S312" s="793">
        <f>Q312-R312</f>
        <v>-178524000</v>
      </c>
      <c r="T312" s="873">
        <f>S312/R312</f>
        <v>-0.994983948635634</v>
      </c>
    </row>
    <row r="313" spans="1:24" s="128" customFormat="1" ht="14.45" customHeight="1">
      <c r="A313" s="778"/>
      <c r="B313" s="786"/>
      <c r="C313" s="786"/>
      <c r="D313" s="844"/>
      <c r="E313" s="3637" t="s">
        <v>3024</v>
      </c>
      <c r="F313" s="3638"/>
      <c r="G313" s="3638"/>
      <c r="H313" s="3638"/>
      <c r="I313" s="3638"/>
      <c r="J313" s="3638"/>
      <c r="K313" s="3638"/>
      <c r="L313" s="3638"/>
      <c r="M313" s="3638"/>
      <c r="N313" s="3638"/>
      <c r="O313" s="3638"/>
      <c r="P313" s="3639"/>
      <c r="Q313" s="645">
        <f>P314</f>
        <v>900000</v>
      </c>
      <c r="R313" s="645">
        <v>179424000</v>
      </c>
      <c r="S313" s="646">
        <f>Q313-R313</f>
        <v>-178524000</v>
      </c>
      <c r="T313" s="542">
        <f>S313/R313</f>
        <v>-0.994983948635634</v>
      </c>
    </row>
    <row r="314" spans="1:24" s="128" customFormat="1" ht="14.45" customHeight="1">
      <c r="A314" s="778"/>
      <c r="B314" s="786"/>
      <c r="C314" s="786"/>
      <c r="D314" s="786"/>
      <c r="E314" s="844"/>
      <c r="F314" s="2615" t="s">
        <v>1125</v>
      </c>
      <c r="G314" s="2614"/>
      <c r="H314" s="2615"/>
      <c r="I314" s="2615"/>
      <c r="J314" s="2615"/>
      <c r="K314" s="2615"/>
      <c r="L314" s="2615"/>
      <c r="M314" s="2615"/>
      <c r="N314" s="2617"/>
      <c r="O314" s="2866"/>
      <c r="P314" s="2866">
        <f>P315</f>
        <v>900000</v>
      </c>
      <c r="Q314" s="653">
        <f>P314</f>
        <v>900000</v>
      </c>
      <c r="R314" s="2867">
        <v>179424000</v>
      </c>
      <c r="S314" s="2598">
        <f>Q314-R314</f>
        <v>-178524000</v>
      </c>
      <c r="T314" s="2649">
        <f>S314/R314</f>
        <v>-0.994983948635634</v>
      </c>
      <c r="X314" s="1160"/>
    </row>
    <row r="315" spans="1:24" s="128" customFormat="1" ht="14.25" customHeight="1">
      <c r="A315" s="778"/>
      <c r="B315" s="786"/>
      <c r="C315" s="846"/>
      <c r="D315" s="846"/>
      <c r="E315" s="3281"/>
      <c r="F315" s="2868" t="s">
        <v>1126</v>
      </c>
      <c r="G315" s="2869">
        <v>900000</v>
      </c>
      <c r="H315" s="2870" t="s">
        <v>1127</v>
      </c>
      <c r="I315" s="2871">
        <v>1</v>
      </c>
      <c r="J315" s="2870"/>
      <c r="K315" s="2872"/>
      <c r="L315" s="2870"/>
      <c r="M315" s="2870"/>
      <c r="N315" s="2873"/>
      <c r="O315" s="2873" t="s">
        <v>1128</v>
      </c>
      <c r="P315" s="2823">
        <f>G315*I315</f>
        <v>900000</v>
      </c>
      <c r="Q315" s="2874"/>
      <c r="R315" s="2874"/>
      <c r="S315" s="2875"/>
      <c r="T315" s="2876"/>
    </row>
    <row r="316" spans="1:24" ht="14.45" customHeight="1">
      <c r="A316" s="513"/>
      <c r="B316" s="522"/>
      <c r="C316" s="3634" t="s">
        <v>130</v>
      </c>
      <c r="D316" s="3635"/>
      <c r="E316" s="3635"/>
      <c r="F316" s="3635"/>
      <c r="G316" s="3635"/>
      <c r="H316" s="3635"/>
      <c r="I316" s="3635"/>
      <c r="J316" s="3635"/>
      <c r="K316" s="3635"/>
      <c r="L316" s="3635"/>
      <c r="M316" s="3635"/>
      <c r="N316" s="3635"/>
      <c r="O316" s="3635"/>
      <c r="P316" s="3636"/>
      <c r="Q316" s="519">
        <f>SUM(Q317)</f>
        <v>0</v>
      </c>
      <c r="R316" s="519">
        <f>SUM(R317)</f>
        <v>20000000</v>
      </c>
      <c r="S316" s="520">
        <f>Q316-R316</f>
        <v>-20000000</v>
      </c>
      <c r="T316" s="2877">
        <f>S316/R316</f>
        <v>-1</v>
      </c>
      <c r="V316" s="2581"/>
    </row>
    <row r="317" spans="1:24" ht="14.45" customHeight="1">
      <c r="A317" s="513"/>
      <c r="B317" s="522"/>
      <c r="C317" s="531"/>
      <c r="D317" s="532" t="s">
        <v>131</v>
      </c>
      <c r="E317" s="3275"/>
      <c r="F317" s="2763"/>
      <c r="G317" s="534"/>
      <c r="H317" s="533"/>
      <c r="I317" s="533"/>
      <c r="J317" s="533"/>
      <c r="K317" s="533"/>
      <c r="L317" s="1737"/>
      <c r="M317" s="533"/>
      <c r="N317" s="535"/>
      <c r="O317" s="535"/>
      <c r="P317" s="533"/>
      <c r="Q317" s="536">
        <f>SUM(Q318)</f>
        <v>0</v>
      </c>
      <c r="R317" s="536">
        <f>SUM(R318)</f>
        <v>20000000</v>
      </c>
      <c r="S317" s="537">
        <f>Q317-R317</f>
        <v>-20000000</v>
      </c>
      <c r="T317" s="2878">
        <f>S317/R317</f>
        <v>-1</v>
      </c>
    </row>
    <row r="318" spans="1:24" ht="14.45" customHeight="1" thickBot="1">
      <c r="A318" s="587"/>
      <c r="B318" s="588"/>
      <c r="C318" s="589"/>
      <c r="D318" s="2879"/>
      <c r="E318" s="3676" t="s">
        <v>3025</v>
      </c>
      <c r="F318" s="3677"/>
      <c r="G318" s="3677"/>
      <c r="H318" s="3677"/>
      <c r="I318" s="3677"/>
      <c r="J318" s="3677"/>
      <c r="K318" s="3677"/>
      <c r="L318" s="3677"/>
      <c r="M318" s="3677"/>
      <c r="N318" s="3677"/>
      <c r="O318" s="3677"/>
      <c r="P318" s="3678"/>
      <c r="Q318" s="2880">
        <v>0</v>
      </c>
      <c r="R318" s="2880">
        <v>20000000</v>
      </c>
      <c r="S318" s="2881">
        <f>Q318-R318</f>
        <v>-20000000</v>
      </c>
      <c r="T318" s="2882">
        <f>S318/R318</f>
        <v>-1</v>
      </c>
    </row>
    <row r="319" spans="1:24" ht="14.45" hidden="1" customHeight="1">
      <c r="A319" s="513"/>
      <c r="B319" s="551" t="s">
        <v>132</v>
      </c>
      <c r="C319" s="514"/>
      <c r="D319" s="514"/>
      <c r="E319" s="3391"/>
      <c r="F319" s="2883"/>
      <c r="G319" s="517"/>
      <c r="H319" s="516"/>
      <c r="I319" s="2884"/>
      <c r="J319" s="516"/>
      <c r="K319" s="2885"/>
      <c r="L319" s="2886"/>
      <c r="M319" s="2885"/>
      <c r="N319" s="518"/>
      <c r="O319" s="518"/>
      <c r="P319" s="2887"/>
      <c r="Q319" s="519">
        <f t="shared" ref="Q319:R321" si="27">Q320</f>
        <v>0</v>
      </c>
      <c r="R319" s="519">
        <f t="shared" si="27"/>
        <v>0</v>
      </c>
      <c r="S319" s="520">
        <f>S320</f>
        <v>0</v>
      </c>
      <c r="T319" s="521" t="e">
        <f>T320</f>
        <v>#DIV/0!</v>
      </c>
    </row>
    <row r="320" spans="1:24" ht="14.45" hidden="1" customHeight="1">
      <c r="A320" s="513"/>
      <c r="B320" s="522"/>
      <c r="C320" s="551" t="s">
        <v>133</v>
      </c>
      <c r="D320" s="514"/>
      <c r="E320" s="3391"/>
      <c r="F320" s="2883"/>
      <c r="G320" s="517"/>
      <c r="H320" s="516"/>
      <c r="I320" s="2884"/>
      <c r="J320" s="516"/>
      <c r="K320" s="2885"/>
      <c r="L320" s="2886"/>
      <c r="M320" s="2885"/>
      <c r="N320" s="518"/>
      <c r="O320" s="518"/>
      <c r="P320" s="2887"/>
      <c r="Q320" s="519">
        <f t="shared" si="27"/>
        <v>0</v>
      </c>
      <c r="R320" s="519">
        <f t="shared" si="27"/>
        <v>0</v>
      </c>
      <c r="S320" s="520">
        <f>S321</f>
        <v>0</v>
      </c>
      <c r="T320" s="521" t="e">
        <f>T321</f>
        <v>#DIV/0!</v>
      </c>
    </row>
    <row r="321" spans="1:20" ht="14.45" hidden="1" customHeight="1">
      <c r="A321" s="513"/>
      <c r="B321" s="522"/>
      <c r="C321" s="495"/>
      <c r="D321" s="2888" t="s">
        <v>134</v>
      </c>
      <c r="E321" s="3407"/>
      <c r="F321" s="2889"/>
      <c r="G321" s="2890"/>
      <c r="H321" s="2888"/>
      <c r="I321" s="2888"/>
      <c r="J321" s="2888"/>
      <c r="K321" s="2888"/>
      <c r="L321" s="2891"/>
      <c r="M321" s="2888"/>
      <c r="N321" s="2892"/>
      <c r="O321" s="2892"/>
      <c r="P321" s="2888"/>
      <c r="Q321" s="2893">
        <f t="shared" si="27"/>
        <v>0</v>
      </c>
      <c r="R321" s="2893">
        <f t="shared" si="27"/>
        <v>0</v>
      </c>
      <c r="S321" s="2894">
        <f>Q321-R321</f>
        <v>0</v>
      </c>
      <c r="T321" s="2895" t="e">
        <f>T322</f>
        <v>#DIV/0!</v>
      </c>
    </row>
    <row r="322" spans="1:20" ht="14.45" hidden="1" customHeight="1">
      <c r="A322" s="513"/>
      <c r="B322" s="522"/>
      <c r="C322" s="531"/>
      <c r="D322" s="2896"/>
      <c r="E322" s="3408" t="s">
        <v>135</v>
      </c>
      <c r="F322" s="2897"/>
      <c r="G322" s="2898"/>
      <c r="H322" s="2899"/>
      <c r="I322" s="2899"/>
      <c r="J322" s="2899"/>
      <c r="K322" s="2899"/>
      <c r="L322" s="2900"/>
      <c r="M322" s="2899"/>
      <c r="N322" s="2901"/>
      <c r="O322" s="2901"/>
      <c r="P322" s="2899"/>
      <c r="Q322" s="2902">
        <f>P323</f>
        <v>0</v>
      </c>
      <c r="R322" s="2902"/>
      <c r="S322" s="2903">
        <f>Q322-R322</f>
        <v>0</v>
      </c>
      <c r="T322" s="2904" t="e">
        <f>S322/R322</f>
        <v>#DIV/0!</v>
      </c>
    </row>
    <row r="323" spans="1:20" ht="14.45" hidden="1" customHeight="1">
      <c r="A323" s="513"/>
      <c r="B323" s="522"/>
      <c r="C323" s="531"/>
      <c r="D323" s="522"/>
      <c r="F323" s="560" t="s">
        <v>136</v>
      </c>
      <c r="G323" s="2905"/>
      <c r="H323" s="543"/>
      <c r="I323" s="543"/>
      <c r="J323" s="543"/>
      <c r="K323" s="543"/>
      <c r="L323" s="2906"/>
      <c r="M323" s="543"/>
      <c r="N323" s="555"/>
      <c r="O323" s="555"/>
      <c r="P323" s="2907">
        <f>SUM(P324)</f>
        <v>0</v>
      </c>
      <c r="Q323" s="557"/>
      <c r="R323" s="557"/>
      <c r="S323" s="558"/>
      <c r="T323" s="559"/>
    </row>
    <row r="324" spans="1:20" ht="14.45" hidden="1" customHeight="1" thickBot="1">
      <c r="A324" s="587"/>
      <c r="B324" s="588"/>
      <c r="C324" s="589"/>
      <c r="D324" s="588"/>
      <c r="E324" s="3409"/>
      <c r="F324" s="2908" t="s">
        <v>137</v>
      </c>
      <c r="G324" s="591"/>
      <c r="H324" s="592" t="s">
        <v>21</v>
      </c>
      <c r="I324" s="2909"/>
      <c r="J324" s="592"/>
      <c r="K324" s="2910"/>
      <c r="L324" s="2911"/>
      <c r="M324" s="2910"/>
      <c r="N324" s="594"/>
      <c r="O324" s="594" t="s">
        <v>22</v>
      </c>
      <c r="P324" s="595">
        <f>ROUNDUP(G324*I324,-3)</f>
        <v>0</v>
      </c>
      <c r="Q324" s="596"/>
      <c r="R324" s="596"/>
      <c r="S324" s="597"/>
      <c r="T324" s="598"/>
    </row>
    <row r="325" spans="1:20" ht="14.45" hidden="1" customHeight="1">
      <c r="R325" s="499"/>
    </row>
    <row r="326" spans="1:20" ht="15" hidden="1" customHeight="1">
      <c r="R326" s="499"/>
    </row>
    <row r="327" spans="1:20" ht="15" customHeight="1">
      <c r="R327" s="499"/>
    </row>
    <row r="328" spans="1:20" ht="15" customHeight="1"/>
    <row r="331" spans="1:20">
      <c r="P331" s="2581"/>
    </row>
    <row r="334" spans="1:20">
      <c r="P334" s="2581"/>
    </row>
  </sheetData>
  <mergeCells count="51">
    <mergeCell ref="V9:Y9"/>
    <mergeCell ref="AA9:AB9"/>
    <mergeCell ref="I77:J77"/>
    <mergeCell ref="A1:T1"/>
    <mergeCell ref="S2:T2"/>
    <mergeCell ref="A3:E3"/>
    <mergeCell ref="G3:P4"/>
    <mergeCell ref="Q3:Q4"/>
    <mergeCell ref="R3:R4"/>
    <mergeCell ref="S3:S4"/>
    <mergeCell ref="T3:T4"/>
    <mergeCell ref="I69:J69"/>
    <mergeCell ref="I73:J73"/>
    <mergeCell ref="I74:J74"/>
    <mergeCell ref="I75:J75"/>
    <mergeCell ref="I76:J76"/>
    <mergeCell ref="E9:P9"/>
    <mergeCell ref="E18:P18"/>
    <mergeCell ref="E66:P66"/>
    <mergeCell ref="E67:P67"/>
    <mergeCell ref="E71:P71"/>
    <mergeCell ref="E129:P129"/>
    <mergeCell ref="E132:P132"/>
    <mergeCell ref="E83:P83"/>
    <mergeCell ref="E87:P87"/>
    <mergeCell ref="E96:P96"/>
    <mergeCell ref="E99:P99"/>
    <mergeCell ref="E109:P109"/>
    <mergeCell ref="E318:P318"/>
    <mergeCell ref="E175:P175"/>
    <mergeCell ref="E192:P192"/>
    <mergeCell ref="E196:P196"/>
    <mergeCell ref="E202:P202"/>
    <mergeCell ref="E208:P208"/>
    <mergeCell ref="C206:P206"/>
    <mergeCell ref="C7:P7"/>
    <mergeCell ref="C311:P311"/>
    <mergeCell ref="C316:P316"/>
    <mergeCell ref="E215:P215"/>
    <mergeCell ref="E244:P244"/>
    <mergeCell ref="E307:P307"/>
    <mergeCell ref="E313:P313"/>
    <mergeCell ref="E159:P159"/>
    <mergeCell ref="E164:P164"/>
    <mergeCell ref="E168:P168"/>
    <mergeCell ref="E135:P135"/>
    <mergeCell ref="E149:P149"/>
    <mergeCell ref="E154:P154"/>
    <mergeCell ref="E110:P110"/>
    <mergeCell ref="E118:P118"/>
    <mergeCell ref="E126:P12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fitToHeight="0" orientation="landscape" r:id="rId1"/>
  <headerFooter scaleWithDoc="0"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70C0"/>
    <pageSetUpPr fitToPage="1"/>
  </sheetPr>
  <dimension ref="A1:AA336"/>
  <sheetViews>
    <sheetView view="pageBreakPreview" zoomScale="115" zoomScaleNormal="85" zoomScaleSheetLayoutView="115" workbookViewId="0">
      <pane ySplit="8" topLeftCell="A252" activePane="bottomLeft" state="frozen"/>
      <selection activeCell="O40" sqref="O39:O40"/>
      <selection pane="bottomLeft" activeCell="Q263" sqref="Q263"/>
    </sheetView>
  </sheetViews>
  <sheetFormatPr defaultColWidth="9" defaultRowHeight="16.5"/>
  <cols>
    <col min="1" max="1" width="3.625" style="930" customWidth="1"/>
    <col min="2" max="4" width="3.625" style="962" customWidth="1"/>
    <col min="5" max="5" width="10.625" style="725" customWidth="1"/>
    <col min="6" max="6" width="34.875" style="2221" customWidth="1"/>
    <col min="7" max="7" width="14.5" style="963" bestFit="1" customWidth="1"/>
    <col min="8" max="8" width="2.25" style="930" customWidth="1"/>
    <col min="9" max="9" width="7.25" style="930" customWidth="1"/>
    <col min="10" max="10" width="2.125" style="930" customWidth="1"/>
    <col min="11" max="11" width="5.875" style="930" customWidth="1"/>
    <col min="12" max="12" width="2.625" style="2222" customWidth="1"/>
    <col min="13" max="13" width="5.375" style="930" customWidth="1"/>
    <col min="14" max="14" width="2.75" style="964" customWidth="1"/>
    <col min="15" max="15" width="2.625" style="964" customWidth="1"/>
    <col min="16" max="16" width="13.625" style="930" customWidth="1"/>
    <col min="17" max="17" width="10.625" style="965" customWidth="1"/>
    <col min="18" max="18" width="10.625" style="966" customWidth="1"/>
    <col min="19" max="19" width="10.625" style="2271" customWidth="1"/>
    <col min="20" max="20" width="10.625" style="2272" customWidth="1"/>
    <col min="21" max="21" width="9" style="930"/>
    <col min="22" max="22" width="20" style="930" customWidth="1"/>
    <col min="23" max="23" width="10.375" style="930" customWidth="1"/>
    <col min="24" max="16384" width="9" style="930"/>
  </cols>
  <sheetData>
    <row r="1" spans="1:23" ht="35.1" customHeight="1">
      <c r="A1" s="3757" t="s">
        <v>2095</v>
      </c>
      <c r="B1" s="3757"/>
      <c r="C1" s="3757"/>
      <c r="D1" s="3757"/>
      <c r="E1" s="3757"/>
      <c r="F1" s="3757"/>
      <c r="G1" s="3757"/>
      <c r="H1" s="3757"/>
      <c r="I1" s="3757"/>
      <c r="J1" s="3757"/>
      <c r="K1" s="3757"/>
      <c r="L1" s="3757"/>
      <c r="M1" s="3757"/>
      <c r="N1" s="3757"/>
      <c r="O1" s="3757"/>
      <c r="P1" s="3757"/>
      <c r="Q1" s="3757"/>
      <c r="R1" s="3757"/>
      <c r="S1" s="3757"/>
      <c r="T1" s="3757"/>
    </row>
    <row r="2" spans="1:23" ht="15" customHeight="1" thickBot="1">
      <c r="A2" s="930" t="s">
        <v>178</v>
      </c>
      <c r="E2" s="719"/>
      <c r="S2" s="3661" t="s">
        <v>179</v>
      </c>
      <c r="T2" s="3661"/>
    </row>
    <row r="3" spans="1:23" s="964" customFormat="1" ht="15" customHeight="1">
      <c r="A3" s="3743" t="s">
        <v>2</v>
      </c>
      <c r="B3" s="3644"/>
      <c r="C3" s="3644"/>
      <c r="D3" s="3644"/>
      <c r="E3" s="3644"/>
      <c r="F3" s="1258"/>
      <c r="G3" s="3645" t="s">
        <v>3</v>
      </c>
      <c r="H3" s="3645"/>
      <c r="I3" s="3645"/>
      <c r="J3" s="3645"/>
      <c r="K3" s="3645"/>
      <c r="L3" s="3645"/>
      <c r="M3" s="3645"/>
      <c r="N3" s="3645"/>
      <c r="O3" s="3645"/>
      <c r="P3" s="3646"/>
      <c r="Q3" s="3649" t="s">
        <v>4</v>
      </c>
      <c r="R3" s="3651" t="s">
        <v>326</v>
      </c>
      <c r="S3" s="3746" t="s">
        <v>5</v>
      </c>
      <c r="T3" s="3655" t="s">
        <v>6</v>
      </c>
    </row>
    <row r="4" spans="1:23" s="964" customFormat="1" ht="15" customHeight="1" thickBot="1">
      <c r="A4" s="502" t="s">
        <v>7</v>
      </c>
      <c r="B4" s="503" t="s">
        <v>8</v>
      </c>
      <c r="C4" s="503" t="s">
        <v>9</v>
      </c>
      <c r="D4" s="503" t="s">
        <v>10</v>
      </c>
      <c r="E4" s="503" t="s">
        <v>11</v>
      </c>
      <c r="F4" s="1259" t="s">
        <v>12</v>
      </c>
      <c r="G4" s="3647"/>
      <c r="H4" s="3647"/>
      <c r="I4" s="3647"/>
      <c r="J4" s="3647"/>
      <c r="K4" s="3647"/>
      <c r="L4" s="3647"/>
      <c r="M4" s="3647"/>
      <c r="N4" s="3647"/>
      <c r="O4" s="3647"/>
      <c r="P4" s="3648"/>
      <c r="Q4" s="3650"/>
      <c r="R4" s="3652"/>
      <c r="S4" s="3747"/>
      <c r="T4" s="3656"/>
    </row>
    <row r="5" spans="1:23" s="962" customFormat="1" ht="15" customHeight="1" thickBot="1">
      <c r="A5" s="1260" t="s">
        <v>180</v>
      </c>
      <c r="B5" s="1261"/>
      <c r="C5" s="1261"/>
      <c r="D5" s="1261"/>
      <c r="E5" s="1261"/>
      <c r="F5" s="1262"/>
      <c r="G5" s="612"/>
      <c r="H5" s="611"/>
      <c r="I5" s="611"/>
      <c r="J5" s="611"/>
      <c r="K5" s="611"/>
      <c r="L5" s="1263"/>
      <c r="M5" s="611"/>
      <c r="N5" s="613"/>
      <c r="O5" s="613"/>
      <c r="P5" s="611"/>
      <c r="Q5" s="614">
        <f>Q6</f>
        <v>1143863000</v>
      </c>
      <c r="R5" s="614">
        <f>R6</f>
        <v>1644864000</v>
      </c>
      <c r="S5" s="937">
        <f t="shared" ref="S5:S11" si="0">Q5-R5</f>
        <v>-501001000</v>
      </c>
      <c r="T5" s="616">
        <f t="shared" ref="T5:T8" si="1">S5/R5</f>
        <v>-0.30458505991984747</v>
      </c>
      <c r="V5" s="962">
        <v>1644864000</v>
      </c>
    </row>
    <row r="6" spans="1:23" ht="15" customHeight="1">
      <c r="A6" s="617"/>
      <c r="B6" s="618" t="s">
        <v>181</v>
      </c>
      <c r="C6" s="619"/>
      <c r="D6" s="619"/>
      <c r="E6" s="619"/>
      <c r="F6" s="2223"/>
      <c r="G6" s="621"/>
      <c r="H6" s="620"/>
      <c r="I6" s="620"/>
      <c r="J6" s="620"/>
      <c r="K6" s="620"/>
      <c r="L6" s="2516"/>
      <c r="M6" s="620"/>
      <c r="N6" s="622"/>
      <c r="O6" s="622"/>
      <c r="P6" s="620"/>
      <c r="Q6" s="623">
        <f>Q7+Q121+Q205+Q321</f>
        <v>1143863000</v>
      </c>
      <c r="R6" s="623">
        <f>R7+R121+R205+R321</f>
        <v>1644864000</v>
      </c>
      <c r="S6" s="624">
        <f t="shared" si="0"/>
        <v>-501001000</v>
      </c>
      <c r="T6" s="625">
        <f t="shared" si="1"/>
        <v>-0.30458505991984747</v>
      </c>
      <c r="V6" s="1651">
        <f>R5-V5</f>
        <v>0</v>
      </c>
    </row>
    <row r="7" spans="1:23" ht="15" customHeight="1">
      <c r="A7" s="617"/>
      <c r="B7" s="626"/>
      <c r="C7" s="3634" t="s">
        <v>182</v>
      </c>
      <c r="D7" s="3635"/>
      <c r="E7" s="3635"/>
      <c r="F7" s="3635"/>
      <c r="G7" s="3635"/>
      <c r="H7" s="3635"/>
      <c r="I7" s="3635"/>
      <c r="J7" s="3635"/>
      <c r="K7" s="3635"/>
      <c r="L7" s="3635"/>
      <c r="M7" s="3635"/>
      <c r="N7" s="3635"/>
      <c r="O7" s="3635"/>
      <c r="P7" s="3636"/>
      <c r="Q7" s="631">
        <f>Q8+Q31+Q116</f>
        <v>249909000</v>
      </c>
      <c r="R7" s="631">
        <f>R8+R31+R116</f>
        <v>796000000</v>
      </c>
      <c r="S7" s="764">
        <f t="shared" si="0"/>
        <v>-546091000</v>
      </c>
      <c r="T7" s="765">
        <f t="shared" si="1"/>
        <v>-0.6860439698492462</v>
      </c>
    </row>
    <row r="8" spans="1:23" s="962" customFormat="1" ht="15" customHeight="1">
      <c r="A8" s="973"/>
      <c r="B8" s="632"/>
      <c r="C8" s="719"/>
      <c r="D8" s="1268" t="s">
        <v>183</v>
      </c>
      <c r="E8" s="2229"/>
      <c r="F8" s="1269"/>
      <c r="G8" s="636"/>
      <c r="H8" s="635"/>
      <c r="I8" s="635"/>
      <c r="J8" s="635"/>
      <c r="K8" s="635"/>
      <c r="L8" s="1268"/>
      <c r="M8" s="635"/>
      <c r="N8" s="637"/>
      <c r="O8" s="637"/>
      <c r="P8" s="635"/>
      <c r="Q8" s="638">
        <f>Q9+Q10+Q11+Q28</f>
        <v>12925000</v>
      </c>
      <c r="R8" s="638">
        <f>R9+R10+R11+R28</f>
        <v>518616000</v>
      </c>
      <c r="S8" s="793">
        <f t="shared" si="0"/>
        <v>-505691000</v>
      </c>
      <c r="T8" s="873">
        <f t="shared" si="1"/>
        <v>-0.97507789964058189</v>
      </c>
    </row>
    <row r="9" spans="1:23" ht="15" customHeight="1">
      <c r="A9" s="617"/>
      <c r="B9" s="632"/>
      <c r="C9" s="719"/>
      <c r="D9" s="632"/>
      <c r="E9" s="3750" t="s">
        <v>184</v>
      </c>
      <c r="F9" s="3751"/>
      <c r="G9" s="3751"/>
      <c r="H9" s="3751"/>
      <c r="I9" s="3751"/>
      <c r="J9" s="3751"/>
      <c r="K9" s="3751"/>
      <c r="L9" s="3751"/>
      <c r="M9" s="3751"/>
      <c r="N9" s="3751"/>
      <c r="O9" s="3751"/>
      <c r="P9" s="3752"/>
      <c r="Q9" s="645">
        <v>0</v>
      </c>
      <c r="R9" s="645">
        <v>299447000</v>
      </c>
      <c r="S9" s="646">
        <f t="shared" si="0"/>
        <v>-299447000</v>
      </c>
      <c r="T9" s="647">
        <f>S9/R9</f>
        <v>-1</v>
      </c>
      <c r="V9" s="1651"/>
    </row>
    <row r="10" spans="1:23" ht="15" customHeight="1">
      <c r="A10" s="617"/>
      <c r="B10" s="632"/>
      <c r="C10" s="719"/>
      <c r="D10" s="632"/>
      <c r="E10" s="3750" t="s">
        <v>39</v>
      </c>
      <c r="F10" s="3751"/>
      <c r="G10" s="3751"/>
      <c r="H10" s="3751"/>
      <c r="I10" s="3751"/>
      <c r="J10" s="3751"/>
      <c r="K10" s="3751"/>
      <c r="L10" s="3751"/>
      <c r="M10" s="3751"/>
      <c r="N10" s="3751"/>
      <c r="O10" s="3751"/>
      <c r="P10" s="3752"/>
      <c r="Q10" s="645">
        <v>0</v>
      </c>
      <c r="R10" s="645">
        <v>179275000</v>
      </c>
      <c r="S10" s="646">
        <f t="shared" si="0"/>
        <v>-179275000</v>
      </c>
      <c r="T10" s="647">
        <f t="shared" ref="T10:T55" si="2">S10/R10</f>
        <v>-1</v>
      </c>
    </row>
    <row r="11" spans="1:23" ht="15" customHeight="1">
      <c r="A11" s="617"/>
      <c r="B11" s="632"/>
      <c r="C11" s="719"/>
      <c r="D11" s="632"/>
      <c r="E11" s="3750" t="s">
        <v>3036</v>
      </c>
      <c r="F11" s="3751"/>
      <c r="G11" s="3751"/>
      <c r="H11" s="3751"/>
      <c r="I11" s="3751"/>
      <c r="J11" s="3751"/>
      <c r="K11" s="3751"/>
      <c r="L11" s="3751"/>
      <c r="M11" s="3751"/>
      <c r="N11" s="3751"/>
      <c r="O11" s="3751"/>
      <c r="P11" s="3752"/>
      <c r="Q11" s="1154">
        <f>P12+P14+P16+P18+P20+P22+P24+P26</f>
        <v>12925000</v>
      </c>
      <c r="R11" s="1154">
        <v>0</v>
      </c>
      <c r="S11" s="1155">
        <f t="shared" si="0"/>
        <v>12925000</v>
      </c>
      <c r="T11" s="1288"/>
      <c r="W11" s="1651">
        <f>Q8+Q31+Q116+Q133</f>
        <v>318913000</v>
      </c>
    </row>
    <row r="12" spans="1:23" ht="15" customHeight="1">
      <c r="A12" s="617"/>
      <c r="B12" s="632"/>
      <c r="C12" s="719"/>
      <c r="D12" s="632"/>
      <c r="F12" s="1413" t="s">
        <v>38</v>
      </c>
      <c r="G12" s="650"/>
      <c r="H12" s="649"/>
      <c r="I12" s="649"/>
      <c r="J12" s="649"/>
      <c r="K12" s="649"/>
      <c r="L12" s="1414"/>
      <c r="M12" s="649"/>
      <c r="N12" s="651"/>
      <c r="O12" s="651"/>
      <c r="P12" s="652">
        <f>SUM(P13:P13)</f>
        <v>7375000</v>
      </c>
      <c r="Q12" s="653">
        <f>P12</f>
        <v>7375000</v>
      </c>
      <c r="R12" s="2517">
        <v>0</v>
      </c>
      <c r="S12" s="654">
        <f t="shared" ref="S12" si="3">Q12-R12</f>
        <v>7375000</v>
      </c>
      <c r="T12" s="2518"/>
    </row>
    <row r="13" spans="1:23" ht="15" customHeight="1">
      <c r="A13" s="617"/>
      <c r="B13" s="632"/>
      <c r="C13" s="719"/>
      <c r="D13" s="632"/>
      <c r="F13" s="1415" t="s">
        <v>1130</v>
      </c>
      <c r="G13" s="1459">
        <v>1474900</v>
      </c>
      <c r="H13" s="1417" t="s">
        <v>21</v>
      </c>
      <c r="I13" s="2235">
        <v>1</v>
      </c>
      <c r="J13" s="699" t="s">
        <v>21</v>
      </c>
      <c r="K13" s="2239">
        <v>5</v>
      </c>
      <c r="L13" s="1492"/>
      <c r="M13" s="1417"/>
      <c r="N13" s="1421"/>
      <c r="O13" s="1421" t="s">
        <v>22</v>
      </c>
      <c r="P13" s="1422">
        <f>ROUNDUP(G13*I13*K13,-3)</f>
        <v>7375000</v>
      </c>
      <c r="Q13" s="2457"/>
      <c r="R13" s="2457"/>
      <c r="S13" s="695"/>
      <c r="T13" s="696"/>
    </row>
    <row r="14" spans="1:23" ht="15" customHeight="1">
      <c r="A14" s="617"/>
      <c r="B14" s="632"/>
      <c r="C14" s="719"/>
      <c r="D14" s="632"/>
      <c r="F14" s="1413" t="s">
        <v>456</v>
      </c>
      <c r="G14" s="165"/>
      <c r="H14" s="165"/>
      <c r="I14" s="165"/>
      <c r="J14" s="165"/>
      <c r="K14" s="165"/>
      <c r="L14" s="165"/>
      <c r="M14" s="165"/>
      <c r="N14" s="165"/>
      <c r="O14" s="165"/>
      <c r="P14" s="652">
        <f>SUM(P15:P15)</f>
        <v>625000</v>
      </c>
      <c r="Q14" s="2517">
        <f>P14</f>
        <v>625000</v>
      </c>
      <c r="R14" s="2517">
        <v>0</v>
      </c>
      <c r="S14" s="654">
        <f t="shared" ref="S14" si="4">Q14-R14</f>
        <v>625000</v>
      </c>
      <c r="T14" s="2518"/>
    </row>
    <row r="15" spans="1:23" ht="15" customHeight="1">
      <c r="A15" s="617"/>
      <c r="B15" s="632"/>
      <c r="C15" s="719"/>
      <c r="D15" s="632"/>
      <c r="F15" s="1415" t="s">
        <v>1129</v>
      </c>
      <c r="G15" s="1459">
        <v>125000</v>
      </c>
      <c r="H15" s="1417" t="s">
        <v>21</v>
      </c>
      <c r="I15" s="2235">
        <v>1</v>
      </c>
      <c r="J15" s="699" t="s">
        <v>21</v>
      </c>
      <c r="K15" s="2239">
        <v>5</v>
      </c>
      <c r="L15" s="1492"/>
      <c r="M15" s="1417"/>
      <c r="N15" s="1421"/>
      <c r="O15" s="1421" t="s">
        <v>22</v>
      </c>
      <c r="P15" s="1422">
        <f>ROUNDUP(G15*I15*K15,-3)</f>
        <v>625000</v>
      </c>
      <c r="Q15" s="2457"/>
      <c r="R15" s="2457"/>
      <c r="S15" s="695"/>
      <c r="T15" s="696"/>
    </row>
    <row r="16" spans="1:23" ht="15" customHeight="1">
      <c r="A16" s="617"/>
      <c r="B16" s="632"/>
      <c r="C16" s="719"/>
      <c r="D16" s="632"/>
      <c r="F16" s="1413" t="s">
        <v>41</v>
      </c>
      <c r="G16" s="650"/>
      <c r="H16" s="649"/>
      <c r="I16" s="649"/>
      <c r="J16" s="649"/>
      <c r="K16" s="649"/>
      <c r="L16" s="1414"/>
      <c r="M16" s="649"/>
      <c r="N16" s="651"/>
      <c r="O16" s="651"/>
      <c r="P16" s="652">
        <f>SUM(P17:P17)</f>
        <v>650000</v>
      </c>
      <c r="Q16" s="2517">
        <f>P16</f>
        <v>650000</v>
      </c>
      <c r="R16" s="2517">
        <v>0</v>
      </c>
      <c r="S16" s="654">
        <f t="shared" ref="S16" si="5">Q16-R16</f>
        <v>650000</v>
      </c>
      <c r="T16" s="2518"/>
    </row>
    <row r="17" spans="1:20" ht="15" customHeight="1">
      <c r="A17" s="617"/>
      <c r="B17" s="632"/>
      <c r="C17" s="719"/>
      <c r="D17" s="632"/>
      <c r="F17" s="1415" t="s">
        <v>42</v>
      </c>
      <c r="G17" s="1459">
        <v>130000</v>
      </c>
      <c r="H17" s="1417" t="s">
        <v>21</v>
      </c>
      <c r="I17" s="2235">
        <v>1</v>
      </c>
      <c r="J17" s="699" t="s">
        <v>21</v>
      </c>
      <c r="K17" s="2239">
        <v>5</v>
      </c>
      <c r="L17" s="1492"/>
      <c r="M17" s="1417"/>
      <c r="N17" s="1421"/>
      <c r="O17" s="1421" t="s">
        <v>22</v>
      </c>
      <c r="P17" s="1422">
        <f>ROUNDUP(G17*I17*K17,-3)</f>
        <v>650000</v>
      </c>
      <c r="Q17" s="2457"/>
      <c r="R17" s="2457"/>
      <c r="S17" s="695"/>
      <c r="T17" s="696"/>
    </row>
    <row r="18" spans="1:20" ht="15" customHeight="1">
      <c r="A18" s="617"/>
      <c r="B18" s="632"/>
      <c r="C18" s="719"/>
      <c r="D18" s="632"/>
      <c r="F18" s="1413" t="s">
        <v>43</v>
      </c>
      <c r="G18" s="650"/>
      <c r="H18" s="649"/>
      <c r="I18" s="649"/>
      <c r="J18" s="649"/>
      <c r="K18" s="649"/>
      <c r="L18" s="1414"/>
      <c r="M18" s="649"/>
      <c r="N18" s="651"/>
      <c r="O18" s="651"/>
      <c r="P18" s="652">
        <f>SUM(P19:P19)</f>
        <v>150000</v>
      </c>
      <c r="Q18" s="2517">
        <f>P18</f>
        <v>150000</v>
      </c>
      <c r="R18" s="2517">
        <v>0</v>
      </c>
      <c r="S18" s="654">
        <f t="shared" ref="S18" si="6">Q18-R18</f>
        <v>150000</v>
      </c>
      <c r="T18" s="2518"/>
    </row>
    <row r="19" spans="1:20" ht="15" customHeight="1">
      <c r="A19" s="617"/>
      <c r="B19" s="632"/>
      <c r="C19" s="719"/>
      <c r="D19" s="632"/>
      <c r="F19" s="1415" t="s">
        <v>44</v>
      </c>
      <c r="G19" s="1459">
        <v>30000</v>
      </c>
      <c r="H19" s="1417" t="s">
        <v>21</v>
      </c>
      <c r="I19" s="2235">
        <v>1</v>
      </c>
      <c r="J19" s="699" t="s">
        <v>21</v>
      </c>
      <c r="K19" s="2239">
        <v>5</v>
      </c>
      <c r="L19" s="1492"/>
      <c r="M19" s="1417"/>
      <c r="N19" s="1421"/>
      <c r="O19" s="1421" t="s">
        <v>22</v>
      </c>
      <c r="P19" s="1422">
        <f>ROUNDUP(G19*I19*K19,-3)</f>
        <v>150000</v>
      </c>
      <c r="Q19" s="2457"/>
      <c r="R19" s="2457"/>
      <c r="S19" s="695"/>
      <c r="T19" s="696"/>
    </row>
    <row r="20" spans="1:20" ht="15" customHeight="1">
      <c r="A20" s="617"/>
      <c r="B20" s="632"/>
      <c r="C20" s="719"/>
      <c r="D20" s="632"/>
      <c r="F20" s="1413" t="s">
        <v>45</v>
      </c>
      <c r="G20" s="650"/>
      <c r="H20" s="649"/>
      <c r="I20" s="649"/>
      <c r="J20" s="649"/>
      <c r="K20" s="649"/>
      <c r="L20" s="1414"/>
      <c r="M20" s="649"/>
      <c r="N20" s="651"/>
      <c r="O20" s="651"/>
      <c r="P20" s="652">
        <f>SUM(P21:P21)</f>
        <v>1895000</v>
      </c>
      <c r="Q20" s="2517">
        <f>P20</f>
        <v>1895000</v>
      </c>
      <c r="R20" s="2517">
        <v>0</v>
      </c>
      <c r="S20" s="654">
        <f t="shared" ref="S20" si="7">Q20-R20</f>
        <v>1895000</v>
      </c>
      <c r="T20" s="2518"/>
    </row>
    <row r="21" spans="1:20" ht="15" customHeight="1">
      <c r="A21" s="617"/>
      <c r="B21" s="632"/>
      <c r="C21" s="719"/>
      <c r="D21" s="632"/>
      <c r="F21" s="1415" t="s">
        <v>46</v>
      </c>
      <c r="G21" s="1459">
        <v>378900</v>
      </c>
      <c r="H21" s="1417" t="s">
        <v>21</v>
      </c>
      <c r="I21" s="2235">
        <v>1</v>
      </c>
      <c r="J21" s="699" t="s">
        <v>21</v>
      </c>
      <c r="K21" s="2239">
        <v>5</v>
      </c>
      <c r="L21" s="1492"/>
      <c r="M21" s="1417"/>
      <c r="N21" s="1421"/>
      <c r="O21" s="1421" t="s">
        <v>22</v>
      </c>
      <c r="P21" s="1422">
        <f>ROUNDUP(G21*I21*K21,-3)</f>
        <v>1895000</v>
      </c>
      <c r="Q21" s="2457"/>
      <c r="R21" s="2457"/>
      <c r="S21" s="695"/>
      <c r="T21" s="696"/>
    </row>
    <row r="22" spans="1:20" ht="15" customHeight="1">
      <c r="A22" s="617"/>
      <c r="B22" s="632"/>
      <c r="C22" s="719"/>
      <c r="D22" s="632"/>
      <c r="F22" s="1413" t="s">
        <v>48</v>
      </c>
      <c r="G22" s="650"/>
      <c r="H22" s="649"/>
      <c r="I22" s="649"/>
      <c r="J22" s="649"/>
      <c r="K22" s="649"/>
      <c r="L22" s="1414"/>
      <c r="M22" s="649"/>
      <c r="N22" s="651"/>
      <c r="O22" s="651"/>
      <c r="P22" s="652">
        <f>SUM(P23:P23)</f>
        <v>885000</v>
      </c>
      <c r="Q22" s="2517">
        <f>P22</f>
        <v>885000</v>
      </c>
      <c r="R22" s="2517">
        <v>0</v>
      </c>
      <c r="S22" s="654">
        <f t="shared" ref="S22" si="8">Q22-R22</f>
        <v>885000</v>
      </c>
      <c r="T22" s="2518"/>
    </row>
    <row r="23" spans="1:20" ht="15" customHeight="1">
      <c r="A23" s="617"/>
      <c r="B23" s="632"/>
      <c r="C23" s="719"/>
      <c r="D23" s="632"/>
      <c r="F23" s="1415" t="s">
        <v>1130</v>
      </c>
      <c r="G23" s="1459">
        <v>884940</v>
      </c>
      <c r="H23" s="1417" t="s">
        <v>21</v>
      </c>
      <c r="I23" s="2235">
        <v>1</v>
      </c>
      <c r="J23" s="699" t="s">
        <v>21</v>
      </c>
      <c r="K23" s="2239">
        <v>1</v>
      </c>
      <c r="L23" s="1492"/>
      <c r="M23" s="1417"/>
      <c r="N23" s="1421"/>
      <c r="O23" s="1421" t="s">
        <v>22</v>
      </c>
      <c r="P23" s="1422">
        <f>ROUNDUP(G23*I23*K23,-3)</f>
        <v>885000</v>
      </c>
      <c r="Q23" s="2457"/>
      <c r="R23" s="2457"/>
      <c r="S23" s="695"/>
      <c r="T23" s="696"/>
    </row>
    <row r="24" spans="1:20" ht="15" customHeight="1">
      <c r="A24" s="617"/>
      <c r="B24" s="632"/>
      <c r="C24" s="719"/>
      <c r="D24" s="632"/>
      <c r="F24" s="1413" t="s">
        <v>49</v>
      </c>
      <c r="G24" s="650"/>
      <c r="H24" s="649"/>
      <c r="I24" s="649"/>
      <c r="J24" s="649"/>
      <c r="K24" s="649"/>
      <c r="L24" s="1414"/>
      <c r="M24" s="649"/>
      <c r="N24" s="651"/>
      <c r="O24" s="651"/>
      <c r="P24" s="652">
        <f>SUM(P25:P25)</f>
        <v>341000</v>
      </c>
      <c r="Q24" s="2517">
        <f>P24</f>
        <v>341000</v>
      </c>
      <c r="R24" s="2517">
        <v>0</v>
      </c>
      <c r="S24" s="654">
        <f t="shared" ref="S24" si="9">Q24-R24</f>
        <v>341000</v>
      </c>
      <c r="T24" s="2518"/>
    </row>
    <row r="25" spans="1:20" ht="15" customHeight="1">
      <c r="A25" s="617"/>
      <c r="B25" s="632"/>
      <c r="C25" s="719"/>
      <c r="D25" s="632"/>
      <c r="F25" s="1415" t="s">
        <v>50</v>
      </c>
      <c r="G25" s="1459">
        <v>68030</v>
      </c>
      <c r="H25" s="1417" t="s">
        <v>21</v>
      </c>
      <c r="I25" s="2235">
        <v>1</v>
      </c>
      <c r="J25" s="699" t="s">
        <v>21</v>
      </c>
      <c r="K25" s="2519">
        <v>5</v>
      </c>
      <c r="L25" s="1492"/>
      <c r="M25" s="1417"/>
      <c r="N25" s="1421"/>
      <c r="O25" s="1421" t="s">
        <v>22</v>
      </c>
      <c r="P25" s="1422">
        <f>ROUNDUP(G25*I25*K25,-3)</f>
        <v>341000</v>
      </c>
      <c r="Q25" s="2457"/>
      <c r="R25" s="2457"/>
      <c r="S25" s="695"/>
      <c r="T25" s="696"/>
    </row>
    <row r="26" spans="1:20" ht="15" customHeight="1">
      <c r="A26" s="617"/>
      <c r="B26" s="632"/>
      <c r="C26" s="719"/>
      <c r="D26" s="632"/>
      <c r="F26" s="1413" t="s">
        <v>52</v>
      </c>
      <c r="G26" s="650"/>
      <c r="H26" s="649"/>
      <c r="I26" s="649"/>
      <c r="J26" s="649"/>
      <c r="K26" s="649"/>
      <c r="L26" s="1414"/>
      <c r="M26" s="649"/>
      <c r="N26" s="651"/>
      <c r="O26" s="651"/>
      <c r="P26" s="652">
        <f>SUM(P27:P27)</f>
        <v>1004000</v>
      </c>
      <c r="Q26" s="2517">
        <f>P26</f>
        <v>1004000</v>
      </c>
      <c r="R26" s="2517">
        <v>0</v>
      </c>
      <c r="S26" s="654">
        <f t="shared" ref="S26" si="10">Q26-R26</f>
        <v>1004000</v>
      </c>
      <c r="T26" s="2518"/>
    </row>
    <row r="27" spans="1:20" ht="15" customHeight="1">
      <c r="A27" s="617"/>
      <c r="B27" s="632"/>
      <c r="C27" s="719"/>
      <c r="D27" s="632"/>
      <c r="F27" s="1415" t="s">
        <v>53</v>
      </c>
      <c r="G27" s="1459">
        <v>12037000</v>
      </c>
      <c r="H27" s="1417" t="s">
        <v>21</v>
      </c>
      <c r="I27" s="3759">
        <v>12</v>
      </c>
      <c r="J27" s="3759"/>
      <c r="K27" s="1417"/>
      <c r="L27" s="1492"/>
      <c r="M27" s="1417"/>
      <c r="N27" s="1421"/>
      <c r="O27" s="1421" t="s">
        <v>22</v>
      </c>
      <c r="P27" s="1422">
        <f>ROUNDUP((G27/12),-3)</f>
        <v>1004000</v>
      </c>
      <c r="Q27" s="2457"/>
      <c r="R27" s="2457"/>
      <c r="S27" s="695"/>
      <c r="T27" s="696"/>
    </row>
    <row r="28" spans="1:20" ht="15" customHeight="1">
      <c r="A28" s="617"/>
      <c r="B28" s="632"/>
      <c r="C28" s="719"/>
      <c r="D28" s="632"/>
      <c r="E28" s="3750" t="s">
        <v>3037</v>
      </c>
      <c r="F28" s="3751"/>
      <c r="G28" s="3751"/>
      <c r="H28" s="3751"/>
      <c r="I28" s="3751"/>
      <c r="J28" s="3751"/>
      <c r="K28" s="3751"/>
      <c r="L28" s="3751"/>
      <c r="M28" s="3751"/>
      <c r="N28" s="3751"/>
      <c r="O28" s="3751"/>
      <c r="P28" s="3752"/>
      <c r="Q28" s="645">
        <f>SUM(P29)</f>
        <v>0</v>
      </c>
      <c r="R28" s="645">
        <v>39894000</v>
      </c>
      <c r="S28" s="646">
        <f>Q28-R28</f>
        <v>-39894000</v>
      </c>
      <c r="T28" s="647">
        <f t="shared" si="2"/>
        <v>-1</v>
      </c>
    </row>
    <row r="29" spans="1:20" ht="15" hidden="1" customHeight="1">
      <c r="A29" s="617"/>
      <c r="B29" s="632"/>
      <c r="C29" s="719"/>
      <c r="D29" s="632"/>
      <c r="F29" s="730"/>
      <c r="G29" s="2520"/>
      <c r="H29" s="648"/>
      <c r="I29" s="648"/>
      <c r="J29" s="648"/>
      <c r="K29" s="648"/>
      <c r="L29" s="2130"/>
      <c r="M29" s="648"/>
      <c r="N29" s="817"/>
      <c r="O29" s="817"/>
      <c r="P29" s="2127"/>
      <c r="Q29" s="743"/>
      <c r="R29" s="743"/>
      <c r="S29" s="971"/>
      <c r="T29" s="745"/>
    </row>
    <row r="30" spans="1:20" ht="15" hidden="1" customHeight="1">
      <c r="A30" s="617"/>
      <c r="B30" s="632"/>
      <c r="C30" s="719"/>
      <c r="D30" s="632"/>
      <c r="E30" s="3358"/>
      <c r="F30" s="740"/>
      <c r="G30" s="967"/>
      <c r="H30" s="648"/>
      <c r="I30" s="3760"/>
      <c r="J30" s="3760"/>
      <c r="K30" s="969"/>
      <c r="L30" s="2521"/>
      <c r="M30" s="969"/>
      <c r="N30" s="817"/>
      <c r="O30" s="817"/>
      <c r="P30" s="970"/>
      <c r="Q30" s="743"/>
      <c r="R30" s="743"/>
      <c r="S30" s="971"/>
      <c r="T30" s="745"/>
    </row>
    <row r="31" spans="1:20" s="962" customFormat="1" ht="15" customHeight="1">
      <c r="A31" s="973"/>
      <c r="B31" s="632"/>
      <c r="C31" s="719"/>
      <c r="D31" s="635" t="s">
        <v>186</v>
      </c>
      <c r="E31" s="2229"/>
      <c r="F31" s="1269"/>
      <c r="G31" s="636"/>
      <c r="H31" s="635"/>
      <c r="I31" s="635"/>
      <c r="J31" s="635"/>
      <c r="K31" s="635"/>
      <c r="L31" s="1268"/>
      <c r="M31" s="635"/>
      <c r="N31" s="637"/>
      <c r="O31" s="637"/>
      <c r="P31" s="635"/>
      <c r="Q31" s="638">
        <f>Q32+Q39+Q49+Q54+Q60+Q63+Q70+Q90+Q93+Q97+Q107+Q111+Q104</f>
        <v>234884000</v>
      </c>
      <c r="R31" s="638">
        <f>R32+R39+R49+R54+R60+R63+R70+R90+R93+R97+R107+R111</f>
        <v>274384000</v>
      </c>
      <c r="S31" s="793">
        <f>Q31-R31</f>
        <v>-39500000</v>
      </c>
      <c r="T31" s="2449">
        <f t="shared" si="2"/>
        <v>-0.14395883141874161</v>
      </c>
    </row>
    <row r="32" spans="1:20" ht="15" customHeight="1">
      <c r="A32" s="617"/>
      <c r="B32" s="632"/>
      <c r="C32" s="719"/>
      <c r="D32" s="632"/>
      <c r="E32" s="3750" t="s">
        <v>3038</v>
      </c>
      <c r="F32" s="3751"/>
      <c r="G32" s="3751"/>
      <c r="H32" s="3751"/>
      <c r="I32" s="3751"/>
      <c r="J32" s="3751"/>
      <c r="K32" s="3751"/>
      <c r="L32" s="3751"/>
      <c r="M32" s="3751"/>
      <c r="N32" s="3751"/>
      <c r="O32" s="3751"/>
      <c r="P32" s="3752"/>
      <c r="Q32" s="645">
        <f>+P33</f>
        <v>1290000</v>
      </c>
      <c r="R32" s="645">
        <v>45770000</v>
      </c>
      <c r="S32" s="646">
        <f>Q32-R32</f>
        <v>-44480000</v>
      </c>
      <c r="T32" s="647">
        <f t="shared" si="2"/>
        <v>-0.9718155997378195</v>
      </c>
    </row>
    <row r="33" spans="1:20" ht="15" customHeight="1">
      <c r="A33" s="617"/>
      <c r="B33" s="632"/>
      <c r="C33" s="719"/>
      <c r="D33" s="632"/>
      <c r="F33" s="1507" t="s">
        <v>56</v>
      </c>
      <c r="G33" s="686"/>
      <c r="H33" s="679"/>
      <c r="I33" s="679"/>
      <c r="J33" s="679"/>
      <c r="K33" s="679"/>
      <c r="L33" s="1508"/>
      <c r="M33" s="679"/>
      <c r="N33" s="687"/>
      <c r="O33" s="687"/>
      <c r="P33" s="681">
        <f>SUM(P34:P38)</f>
        <v>1290000</v>
      </c>
      <c r="Q33" s="653">
        <f>P33</f>
        <v>1290000</v>
      </c>
      <c r="R33" s="653">
        <v>45770000</v>
      </c>
      <c r="S33" s="654">
        <f t="shared" ref="S33" si="11">Q33-R33</f>
        <v>-44480000</v>
      </c>
      <c r="T33" s="2518">
        <f t="shared" si="2"/>
        <v>-0.9718155997378195</v>
      </c>
    </row>
    <row r="34" spans="1:20" ht="15" customHeight="1">
      <c r="A34" s="617"/>
      <c r="B34" s="632"/>
      <c r="C34" s="719"/>
      <c r="D34" s="632"/>
      <c r="E34" s="3358"/>
      <c r="F34" s="1511" t="s">
        <v>57</v>
      </c>
      <c r="G34" s="1459">
        <f>Q11</f>
        <v>12925000</v>
      </c>
      <c r="H34" s="1417" t="s">
        <v>21</v>
      </c>
      <c r="I34" s="3758">
        <v>4.4999999999999998E-2</v>
      </c>
      <c r="J34" s="3758"/>
      <c r="K34" s="1417"/>
      <c r="L34" s="1512"/>
      <c r="M34" s="691"/>
      <c r="N34" s="701"/>
      <c r="O34" s="701" t="s">
        <v>22</v>
      </c>
      <c r="P34" s="882">
        <f>ROUNDUP(G34*I34,-3)</f>
        <v>582000</v>
      </c>
      <c r="Q34" s="694"/>
      <c r="R34" s="694"/>
      <c r="S34" s="695"/>
      <c r="T34" s="696"/>
    </row>
    <row r="35" spans="1:20" ht="15" customHeight="1">
      <c r="A35" s="617"/>
      <c r="B35" s="632"/>
      <c r="C35" s="719"/>
      <c r="D35" s="632"/>
      <c r="E35" s="3291"/>
      <c r="F35" s="1509" t="s">
        <v>58</v>
      </c>
      <c r="G35" s="1459">
        <f>G34</f>
        <v>12925000</v>
      </c>
      <c r="H35" s="1417" t="s">
        <v>21</v>
      </c>
      <c r="I35" s="3758">
        <v>3.1199999999999999E-2</v>
      </c>
      <c r="J35" s="3758"/>
      <c r="K35" s="1417"/>
      <c r="L35" s="1512"/>
      <c r="M35" s="691"/>
      <c r="N35" s="701"/>
      <c r="O35" s="701" t="s">
        <v>22</v>
      </c>
      <c r="P35" s="882">
        <f>ROUNDUP(G35*I35,-3)</f>
        <v>404000</v>
      </c>
      <c r="Q35" s="694"/>
      <c r="R35" s="694"/>
      <c r="S35" s="695"/>
      <c r="T35" s="696"/>
    </row>
    <row r="36" spans="1:20" ht="15" customHeight="1">
      <c r="A36" s="617"/>
      <c r="B36" s="632"/>
      <c r="C36" s="719"/>
      <c r="D36" s="632"/>
      <c r="E36" s="3291"/>
      <c r="F36" s="1509" t="s">
        <v>59</v>
      </c>
      <c r="G36" s="1459">
        <f>P35</f>
        <v>404000</v>
      </c>
      <c r="H36" s="1417" t="s">
        <v>21</v>
      </c>
      <c r="I36" s="3758">
        <v>7.3800000000000004E-2</v>
      </c>
      <c r="J36" s="3758"/>
      <c r="K36" s="1417"/>
      <c r="L36" s="1512"/>
      <c r="M36" s="691"/>
      <c r="N36" s="701"/>
      <c r="O36" s="701" t="s">
        <v>22</v>
      </c>
      <c r="P36" s="882">
        <f>ROUNDUP(G36*I36,-3)</f>
        <v>30000</v>
      </c>
      <c r="Q36" s="694"/>
      <c r="R36" s="694"/>
      <c r="S36" s="695"/>
      <c r="T36" s="696"/>
    </row>
    <row r="37" spans="1:20" ht="15" customHeight="1">
      <c r="A37" s="617"/>
      <c r="B37" s="632"/>
      <c r="C37" s="719"/>
      <c r="D37" s="632"/>
      <c r="E37" s="3291"/>
      <c r="F37" s="1509" t="s">
        <v>60</v>
      </c>
      <c r="G37" s="1459">
        <f>G34</f>
        <v>12925000</v>
      </c>
      <c r="H37" s="1417" t="s">
        <v>21</v>
      </c>
      <c r="I37" s="3758">
        <v>8.9999999999999993E-3</v>
      </c>
      <c r="J37" s="3758"/>
      <c r="K37" s="1417"/>
      <c r="L37" s="1512"/>
      <c r="M37" s="691"/>
      <c r="N37" s="701"/>
      <c r="O37" s="701" t="s">
        <v>22</v>
      </c>
      <c r="P37" s="882">
        <f>ROUNDUP(G37*I37,-3)</f>
        <v>117000</v>
      </c>
      <c r="Q37" s="694"/>
      <c r="R37" s="694"/>
      <c r="S37" s="695"/>
      <c r="T37" s="696"/>
    </row>
    <row r="38" spans="1:20" ht="15" customHeight="1">
      <c r="A38" s="617"/>
      <c r="B38" s="632"/>
      <c r="C38" s="719"/>
      <c r="D38" s="632"/>
      <c r="E38" s="3291"/>
      <c r="F38" s="1509" t="s">
        <v>61</v>
      </c>
      <c r="G38" s="1459">
        <f>G35</f>
        <v>12925000</v>
      </c>
      <c r="H38" s="1417" t="s">
        <v>21</v>
      </c>
      <c r="I38" s="3758">
        <v>1.21E-2</v>
      </c>
      <c r="J38" s="3758"/>
      <c r="K38" s="1417"/>
      <c r="L38" s="1512"/>
      <c r="M38" s="691"/>
      <c r="N38" s="701"/>
      <c r="O38" s="701" t="s">
        <v>22</v>
      </c>
      <c r="P38" s="882">
        <f>ROUNDUP(G38*I38,-3)</f>
        <v>157000</v>
      </c>
      <c r="Q38" s="694"/>
      <c r="R38" s="694"/>
      <c r="S38" s="695"/>
      <c r="T38" s="696"/>
    </row>
    <row r="39" spans="1:20" ht="15" customHeight="1">
      <c r="A39" s="617"/>
      <c r="B39" s="632"/>
      <c r="C39" s="719"/>
      <c r="D39" s="632"/>
      <c r="E39" s="3750" t="s">
        <v>188</v>
      </c>
      <c r="F39" s="3751"/>
      <c r="G39" s="3751"/>
      <c r="H39" s="3751"/>
      <c r="I39" s="3751"/>
      <c r="J39" s="3751"/>
      <c r="K39" s="3751"/>
      <c r="L39" s="3751"/>
      <c r="M39" s="3751"/>
      <c r="N39" s="3751"/>
      <c r="O39" s="3751"/>
      <c r="P39" s="3752"/>
      <c r="Q39" s="645">
        <f>SUM(P40+P42+P44)</f>
        <v>15270000</v>
      </c>
      <c r="R39" s="645">
        <v>18810000</v>
      </c>
      <c r="S39" s="646">
        <f>Q39-R39</f>
        <v>-3540000</v>
      </c>
      <c r="T39" s="647">
        <f t="shared" si="2"/>
        <v>-0.18819776714513556</v>
      </c>
    </row>
    <row r="40" spans="1:20" ht="15" customHeight="1">
      <c r="A40" s="759"/>
      <c r="B40" s="703"/>
      <c r="C40" s="619"/>
      <c r="D40" s="703"/>
      <c r="E40" s="726"/>
      <c r="F40" s="1574" t="s">
        <v>69</v>
      </c>
      <c r="G40" s="1575"/>
      <c r="H40" s="1576"/>
      <c r="I40" s="1576"/>
      <c r="J40" s="1576"/>
      <c r="K40" s="1576"/>
      <c r="L40" s="1577"/>
      <c r="M40" s="1576"/>
      <c r="N40" s="1578"/>
      <c r="O40" s="1578"/>
      <c r="P40" s="1579">
        <f>SUM(P41:P41)</f>
        <v>120000</v>
      </c>
      <c r="Q40" s="2547">
        <f>P40</f>
        <v>120000</v>
      </c>
      <c r="R40" s="683">
        <v>120000</v>
      </c>
      <c r="S40" s="1489">
        <f t="shared" ref="S40" si="12">Q40-R40</f>
        <v>0</v>
      </c>
      <c r="T40" s="2549">
        <f t="shared" si="2"/>
        <v>0</v>
      </c>
    </row>
    <row r="41" spans="1:20" ht="15" customHeight="1">
      <c r="A41" s="617"/>
      <c r="B41" s="632"/>
      <c r="C41" s="719"/>
      <c r="D41" s="632"/>
      <c r="E41" s="3358"/>
      <c r="F41" s="1511" t="s">
        <v>70</v>
      </c>
      <c r="G41" s="1568">
        <v>10000</v>
      </c>
      <c r="H41" s="1168" t="s">
        <v>21</v>
      </c>
      <c r="I41" s="1571">
        <v>12</v>
      </c>
      <c r="J41" s="691"/>
      <c r="K41" s="691"/>
      <c r="L41" s="1512"/>
      <c r="M41" s="691"/>
      <c r="N41" s="701"/>
      <c r="O41" s="692" t="s">
        <v>22</v>
      </c>
      <c r="P41" s="693">
        <f>ROUNDUP(G41*I41,-3)</f>
        <v>120000</v>
      </c>
      <c r="Q41" s="694"/>
      <c r="R41" s="694"/>
      <c r="S41" s="695"/>
      <c r="T41" s="696"/>
    </row>
    <row r="42" spans="1:20" ht="15" customHeight="1">
      <c r="A42" s="617"/>
      <c r="B42" s="632"/>
      <c r="C42" s="719"/>
      <c r="D42" s="632"/>
      <c r="F42" s="1507" t="s">
        <v>71</v>
      </c>
      <c r="G42" s="686"/>
      <c r="H42" s="679"/>
      <c r="I42" s="679"/>
      <c r="J42" s="679"/>
      <c r="K42" s="679"/>
      <c r="L42" s="1508"/>
      <c r="M42" s="679"/>
      <c r="N42" s="687"/>
      <c r="O42" s="687"/>
      <c r="P42" s="681">
        <f>SUM(P43:P43)</f>
        <v>13200000</v>
      </c>
      <c r="Q42" s="2517">
        <f>P42</f>
        <v>13200000</v>
      </c>
      <c r="R42" s="653">
        <v>16560000</v>
      </c>
      <c r="S42" s="654">
        <f t="shared" ref="S42" si="13">Q42-R42</f>
        <v>-3360000</v>
      </c>
      <c r="T42" s="2518">
        <f t="shared" ref="T42" si="14">S42/R42</f>
        <v>-0.20289855072463769</v>
      </c>
    </row>
    <row r="43" spans="1:20" ht="15" customHeight="1">
      <c r="A43" s="617"/>
      <c r="B43" s="632"/>
      <c r="C43" s="719"/>
      <c r="D43" s="632"/>
      <c r="E43" s="3358"/>
      <c r="F43" s="1511" t="s">
        <v>72</v>
      </c>
      <c r="G43" s="1568">
        <v>1100000</v>
      </c>
      <c r="H43" s="1168" t="s">
        <v>21</v>
      </c>
      <c r="I43" s="1571">
        <v>12</v>
      </c>
      <c r="J43" s="691"/>
      <c r="K43" s="691"/>
      <c r="L43" s="1512"/>
      <c r="M43" s="691"/>
      <c r="N43" s="701"/>
      <c r="O43" s="692" t="s">
        <v>22</v>
      </c>
      <c r="P43" s="693">
        <f>ROUNDUP(G43*I43,-3)</f>
        <v>13200000</v>
      </c>
      <c r="Q43" s="694"/>
      <c r="R43" s="694"/>
      <c r="S43" s="695"/>
      <c r="T43" s="696"/>
    </row>
    <row r="44" spans="1:20" ht="15" customHeight="1">
      <c r="A44" s="617"/>
      <c r="B44" s="632"/>
      <c r="C44" s="719"/>
      <c r="D44" s="632"/>
      <c r="F44" s="1507" t="s">
        <v>734</v>
      </c>
      <c r="G44" s="686"/>
      <c r="H44" s="679"/>
      <c r="I44" s="679"/>
      <c r="J44" s="679"/>
      <c r="K44" s="679"/>
      <c r="L44" s="1508"/>
      <c r="M44" s="679"/>
      <c r="N44" s="687"/>
      <c r="O44" s="687"/>
      <c r="P44" s="681">
        <f>SUM(P45:P48)</f>
        <v>1950000</v>
      </c>
      <c r="Q44" s="2517">
        <f>P44</f>
        <v>1950000</v>
      </c>
      <c r="R44" s="653">
        <v>2130000</v>
      </c>
      <c r="S44" s="654">
        <f t="shared" ref="S44" si="15">Q44-R44</f>
        <v>-180000</v>
      </c>
      <c r="T44" s="2518">
        <f t="shared" ref="T44" si="16">S44/R44</f>
        <v>-8.4507042253521125E-2</v>
      </c>
    </row>
    <row r="45" spans="1:20" ht="15" customHeight="1">
      <c r="A45" s="617"/>
      <c r="B45" s="632"/>
      <c r="C45" s="719"/>
      <c r="D45" s="632"/>
      <c r="E45" s="3358"/>
      <c r="F45" s="1511" t="s">
        <v>735</v>
      </c>
      <c r="G45" s="1568">
        <v>50000</v>
      </c>
      <c r="H45" s="1168" t="s">
        <v>21</v>
      </c>
      <c r="I45" s="2291">
        <v>1</v>
      </c>
      <c r="J45" s="691"/>
      <c r="K45" s="691"/>
      <c r="L45" s="1512"/>
      <c r="M45" s="691"/>
      <c r="N45" s="701"/>
      <c r="O45" s="692" t="s">
        <v>22</v>
      </c>
      <c r="P45" s="693">
        <f>ROUNDUP(G45*I45,-3)</f>
        <v>50000</v>
      </c>
      <c r="Q45" s="694"/>
      <c r="R45" s="694"/>
      <c r="S45" s="695"/>
      <c r="T45" s="696"/>
    </row>
    <row r="46" spans="1:20" ht="15" customHeight="1">
      <c r="A46" s="617"/>
      <c r="B46" s="632"/>
      <c r="C46" s="719"/>
      <c r="D46" s="632"/>
      <c r="E46" s="3358"/>
      <c r="F46" s="1511" t="s">
        <v>736</v>
      </c>
      <c r="G46" s="1568">
        <v>100000</v>
      </c>
      <c r="H46" s="1168" t="s">
        <v>21</v>
      </c>
      <c r="I46" s="2291">
        <v>1</v>
      </c>
      <c r="J46" s="691"/>
      <c r="K46" s="691"/>
      <c r="L46" s="1512"/>
      <c r="M46" s="691"/>
      <c r="N46" s="701"/>
      <c r="O46" s="692" t="s">
        <v>22</v>
      </c>
      <c r="P46" s="693">
        <f>ROUNDUP(G46*I46,-3)</f>
        <v>100000</v>
      </c>
      <c r="Q46" s="694"/>
      <c r="R46" s="694"/>
      <c r="S46" s="695"/>
      <c r="T46" s="696"/>
    </row>
    <row r="47" spans="1:20" ht="15" customHeight="1">
      <c r="A47" s="617"/>
      <c r="B47" s="632"/>
      <c r="C47" s="719"/>
      <c r="D47" s="632"/>
      <c r="E47" s="3358"/>
      <c r="F47" s="1511" t="s">
        <v>737</v>
      </c>
      <c r="G47" s="1568">
        <v>800000</v>
      </c>
      <c r="H47" s="1168" t="s">
        <v>21</v>
      </c>
      <c r="I47" s="2291">
        <v>1</v>
      </c>
      <c r="J47" s="691"/>
      <c r="K47" s="691"/>
      <c r="L47" s="1512"/>
      <c r="M47" s="691"/>
      <c r="N47" s="701"/>
      <c r="O47" s="692" t="s">
        <v>22</v>
      </c>
      <c r="P47" s="693">
        <f>ROUNDUP(G47*I47,-3)</f>
        <v>800000</v>
      </c>
      <c r="Q47" s="694"/>
      <c r="R47" s="694"/>
      <c r="S47" s="695"/>
      <c r="T47" s="696"/>
    </row>
    <row r="48" spans="1:20" ht="15" customHeight="1">
      <c r="A48" s="617"/>
      <c r="B48" s="632"/>
      <c r="C48" s="719"/>
      <c r="D48" s="632"/>
      <c r="E48" s="3358"/>
      <c r="F48" s="1511" t="s">
        <v>738</v>
      </c>
      <c r="G48" s="1568">
        <v>1000000</v>
      </c>
      <c r="H48" s="1168" t="s">
        <v>21</v>
      </c>
      <c r="I48" s="2291">
        <v>1</v>
      </c>
      <c r="J48" s="691"/>
      <c r="K48" s="691"/>
      <c r="L48" s="1512"/>
      <c r="M48" s="691"/>
      <c r="N48" s="701"/>
      <c r="O48" s="692" t="s">
        <v>22</v>
      </c>
      <c r="P48" s="693">
        <f>ROUNDUP(G48*I48,-3)</f>
        <v>1000000</v>
      </c>
      <c r="Q48" s="694"/>
      <c r="R48" s="694"/>
      <c r="S48" s="695"/>
      <c r="T48" s="696"/>
    </row>
    <row r="49" spans="1:20" ht="15" customHeight="1">
      <c r="A49" s="617"/>
      <c r="B49" s="632"/>
      <c r="C49" s="719"/>
      <c r="D49" s="632"/>
      <c r="E49" s="3750" t="s">
        <v>3039</v>
      </c>
      <c r="F49" s="3751"/>
      <c r="G49" s="3751"/>
      <c r="H49" s="3751"/>
      <c r="I49" s="3751"/>
      <c r="J49" s="3751"/>
      <c r="K49" s="3751"/>
      <c r="L49" s="3751"/>
      <c r="M49" s="3751"/>
      <c r="N49" s="3751"/>
      <c r="O49" s="3751"/>
      <c r="P49" s="3752"/>
      <c r="Q49" s="645">
        <f>P50</f>
        <v>75600000</v>
      </c>
      <c r="R49" s="645">
        <v>67800000</v>
      </c>
      <c r="S49" s="646">
        <f>Q49-R49</f>
        <v>7800000</v>
      </c>
      <c r="T49" s="647">
        <f t="shared" si="2"/>
        <v>0.11504424778761062</v>
      </c>
    </row>
    <row r="50" spans="1:20" ht="15" customHeight="1">
      <c r="A50" s="617"/>
      <c r="B50" s="632"/>
      <c r="C50" s="719"/>
      <c r="D50" s="632"/>
      <c r="F50" s="1507" t="s">
        <v>75</v>
      </c>
      <c r="G50" s="686"/>
      <c r="H50" s="679"/>
      <c r="I50" s="679"/>
      <c r="J50" s="679"/>
      <c r="K50" s="679"/>
      <c r="L50" s="1508"/>
      <c r="M50" s="679"/>
      <c r="N50" s="687"/>
      <c r="O50" s="687"/>
      <c r="P50" s="681">
        <f>SUM(P51:P53)</f>
        <v>75600000</v>
      </c>
      <c r="Q50" s="2517">
        <f>P50</f>
        <v>75600000</v>
      </c>
      <c r="R50" s="653">
        <v>67800000</v>
      </c>
      <c r="S50" s="654">
        <f t="shared" ref="S50" si="17">Q50-R50</f>
        <v>7800000</v>
      </c>
      <c r="T50" s="2518">
        <f t="shared" si="2"/>
        <v>0.11504424778761062</v>
      </c>
    </row>
    <row r="51" spans="1:20" ht="15" customHeight="1">
      <c r="A51" s="617"/>
      <c r="B51" s="632"/>
      <c r="C51" s="719"/>
      <c r="D51" s="632"/>
      <c r="E51" s="3358"/>
      <c r="F51" s="1511" t="s">
        <v>1131</v>
      </c>
      <c r="G51" s="1568">
        <v>4000000</v>
      </c>
      <c r="H51" s="1168" t="s">
        <v>21</v>
      </c>
      <c r="I51" s="1571">
        <v>12</v>
      </c>
      <c r="J51" s="1168"/>
      <c r="K51" s="3753"/>
      <c r="L51" s="3754"/>
      <c r="M51" s="691"/>
      <c r="N51" s="701"/>
      <c r="O51" s="692" t="s">
        <v>22</v>
      </c>
      <c r="P51" s="693">
        <f>G51*I51</f>
        <v>48000000</v>
      </c>
      <c r="Q51" s="694"/>
      <c r="R51" s="694"/>
      <c r="S51" s="695"/>
      <c r="T51" s="696"/>
    </row>
    <row r="52" spans="1:20" ht="15" customHeight="1">
      <c r="A52" s="617"/>
      <c r="B52" s="632"/>
      <c r="C52" s="719"/>
      <c r="D52" s="632"/>
      <c r="E52" s="3291"/>
      <c r="F52" s="1511" t="s">
        <v>1132</v>
      </c>
      <c r="G52" s="1568">
        <v>1700000</v>
      </c>
      <c r="H52" s="1168" t="s">
        <v>21</v>
      </c>
      <c r="I52" s="1571">
        <v>12</v>
      </c>
      <c r="J52" s="691"/>
      <c r="K52" s="691"/>
      <c r="L52" s="1512"/>
      <c r="M52" s="691"/>
      <c r="N52" s="701"/>
      <c r="O52" s="692" t="s">
        <v>22</v>
      </c>
      <c r="P52" s="693">
        <f>G52*I52</f>
        <v>20400000</v>
      </c>
      <c r="Q52" s="694"/>
      <c r="R52" s="694"/>
      <c r="S52" s="695"/>
      <c r="T52" s="696"/>
    </row>
    <row r="53" spans="1:20" ht="15" customHeight="1">
      <c r="A53" s="617"/>
      <c r="B53" s="632"/>
      <c r="C53" s="719"/>
      <c r="D53" s="632"/>
      <c r="E53" s="3291"/>
      <c r="F53" s="1509" t="s">
        <v>1133</v>
      </c>
      <c r="G53" s="1552">
        <v>600000</v>
      </c>
      <c r="H53" s="1168" t="s">
        <v>21</v>
      </c>
      <c r="I53" s="1571">
        <v>12</v>
      </c>
      <c r="J53" s="691"/>
      <c r="K53" s="691"/>
      <c r="L53" s="1512"/>
      <c r="M53" s="691"/>
      <c r="N53" s="701"/>
      <c r="O53" s="692" t="s">
        <v>22</v>
      </c>
      <c r="P53" s="693">
        <f>ROUNDUP(G53*I53,-3)</f>
        <v>7200000</v>
      </c>
      <c r="Q53" s="694"/>
      <c r="R53" s="694"/>
      <c r="S53" s="695"/>
      <c r="T53" s="696"/>
    </row>
    <row r="54" spans="1:20" ht="15" customHeight="1">
      <c r="A54" s="617"/>
      <c r="B54" s="632"/>
      <c r="C54" s="719"/>
      <c r="D54" s="632"/>
      <c r="E54" s="3750" t="s">
        <v>76</v>
      </c>
      <c r="F54" s="3751"/>
      <c r="G54" s="3751"/>
      <c r="H54" s="3751"/>
      <c r="I54" s="3751"/>
      <c r="J54" s="3751"/>
      <c r="K54" s="3751"/>
      <c r="L54" s="3751"/>
      <c r="M54" s="3751"/>
      <c r="N54" s="3751"/>
      <c r="O54" s="3751"/>
      <c r="P54" s="3752"/>
      <c r="Q54" s="645">
        <f>P55+P58</f>
        <v>6500000</v>
      </c>
      <c r="R54" s="645">
        <v>7020000</v>
      </c>
      <c r="S54" s="646">
        <f>Q54-R54</f>
        <v>-520000</v>
      </c>
      <c r="T54" s="647">
        <f t="shared" si="2"/>
        <v>-7.407407407407407E-2</v>
      </c>
    </row>
    <row r="55" spans="1:20" ht="15" customHeight="1">
      <c r="A55" s="617"/>
      <c r="B55" s="632"/>
      <c r="C55" s="719"/>
      <c r="D55" s="632"/>
      <c r="F55" s="1507" t="s">
        <v>77</v>
      </c>
      <c r="G55" s="686"/>
      <c r="H55" s="679"/>
      <c r="I55" s="679"/>
      <c r="J55" s="679"/>
      <c r="K55" s="679"/>
      <c r="L55" s="1508"/>
      <c r="M55" s="679"/>
      <c r="N55" s="687"/>
      <c r="O55" s="687"/>
      <c r="P55" s="681">
        <f>SUM(P56:P57)</f>
        <v>3500000</v>
      </c>
      <c r="Q55" s="2517">
        <f>P55</f>
        <v>3500000</v>
      </c>
      <c r="R55" s="653">
        <v>4020000</v>
      </c>
      <c r="S55" s="654">
        <f t="shared" ref="S55" si="18">Q55-R55</f>
        <v>-520000</v>
      </c>
      <c r="T55" s="2518">
        <f t="shared" si="2"/>
        <v>-0.12935323383084577</v>
      </c>
    </row>
    <row r="56" spans="1:20" ht="15" customHeight="1">
      <c r="A56" s="617"/>
      <c r="B56" s="632"/>
      <c r="C56" s="719"/>
      <c r="D56" s="632"/>
      <c r="E56" s="3358"/>
      <c r="F56" s="1511" t="s">
        <v>465</v>
      </c>
      <c r="G56" s="1568">
        <v>500000</v>
      </c>
      <c r="H56" s="1168" t="s">
        <v>21</v>
      </c>
      <c r="I56" s="2291">
        <v>4</v>
      </c>
      <c r="J56" s="691"/>
      <c r="K56" s="691"/>
      <c r="L56" s="1512"/>
      <c r="M56" s="691"/>
      <c r="N56" s="701"/>
      <c r="O56" s="692" t="s">
        <v>22</v>
      </c>
      <c r="P56" s="693">
        <f>ROUNDUP(G56*I56,-3)</f>
        <v>2000000</v>
      </c>
      <c r="Q56" s="694"/>
      <c r="R56" s="694"/>
      <c r="S56" s="695"/>
      <c r="T56" s="696"/>
    </row>
    <row r="57" spans="1:20" ht="15" customHeight="1">
      <c r="A57" s="617"/>
      <c r="B57" s="632"/>
      <c r="C57" s="719"/>
      <c r="D57" s="632"/>
      <c r="E57" s="3291"/>
      <c r="F57" s="1509" t="s">
        <v>1134</v>
      </c>
      <c r="G57" s="2188">
        <v>125000</v>
      </c>
      <c r="H57" s="659" t="s">
        <v>21</v>
      </c>
      <c r="I57" s="663">
        <v>12</v>
      </c>
      <c r="J57" s="1417"/>
      <c r="K57" s="1417"/>
      <c r="L57" s="1492"/>
      <c r="M57" s="1417"/>
      <c r="N57" s="1421"/>
      <c r="O57" s="664" t="s">
        <v>22</v>
      </c>
      <c r="P57" s="665">
        <f>ROUNDUP(G57*I57,-3)</f>
        <v>1500000</v>
      </c>
      <c r="Q57" s="694"/>
      <c r="R57" s="694"/>
      <c r="S57" s="695"/>
      <c r="T57" s="696"/>
    </row>
    <row r="58" spans="1:20" ht="15" customHeight="1">
      <c r="A58" s="617"/>
      <c r="B58" s="632"/>
      <c r="C58" s="719"/>
      <c r="D58" s="632"/>
      <c r="E58" s="632"/>
      <c r="F58" s="1507" t="s">
        <v>81</v>
      </c>
      <c r="G58" s="686"/>
      <c r="H58" s="679"/>
      <c r="I58" s="679"/>
      <c r="J58" s="679"/>
      <c r="K58" s="679"/>
      <c r="L58" s="1508"/>
      <c r="M58" s="679"/>
      <c r="N58" s="687"/>
      <c r="O58" s="687"/>
      <c r="P58" s="681">
        <f>SUM(P59:P59)</f>
        <v>3000000</v>
      </c>
      <c r="Q58" s="2517">
        <f>P58</f>
        <v>3000000</v>
      </c>
      <c r="R58" s="653">
        <v>3000000</v>
      </c>
      <c r="S58" s="654">
        <f t="shared" ref="S58" si="19">Q58-R58</f>
        <v>0</v>
      </c>
      <c r="T58" s="2518">
        <f t="shared" ref="T58" si="20">S58/R58</f>
        <v>0</v>
      </c>
    </row>
    <row r="59" spans="1:20" ht="15" customHeight="1">
      <c r="A59" s="617"/>
      <c r="B59" s="632"/>
      <c r="C59" s="719"/>
      <c r="D59" s="632"/>
      <c r="E59" s="3366"/>
      <c r="F59" s="1531" t="s">
        <v>2349</v>
      </c>
      <c r="G59" s="1534">
        <v>250000</v>
      </c>
      <c r="H59" s="1136" t="s">
        <v>21</v>
      </c>
      <c r="I59" s="1536">
        <v>12</v>
      </c>
      <c r="J59" s="1136"/>
      <c r="K59" s="1536"/>
      <c r="L59" s="1535"/>
      <c r="M59" s="1536"/>
      <c r="N59" s="1537"/>
      <c r="O59" s="1537" t="s">
        <v>22</v>
      </c>
      <c r="P59" s="1560">
        <f>ROUNDUP(G59*I59,-3)</f>
        <v>3000000</v>
      </c>
      <c r="Q59" s="712"/>
      <c r="R59" s="712"/>
      <c r="S59" s="713"/>
      <c r="T59" s="714"/>
    </row>
    <row r="60" spans="1:20" ht="15" customHeight="1">
      <c r="A60" s="617"/>
      <c r="B60" s="632"/>
      <c r="C60" s="719"/>
      <c r="D60" s="632"/>
      <c r="E60" s="3750" t="s">
        <v>191</v>
      </c>
      <c r="F60" s="3751"/>
      <c r="G60" s="3751"/>
      <c r="H60" s="3751"/>
      <c r="I60" s="3751"/>
      <c r="J60" s="3751"/>
      <c r="K60" s="3751"/>
      <c r="L60" s="3751"/>
      <c r="M60" s="3751"/>
      <c r="N60" s="3751"/>
      <c r="O60" s="3751"/>
      <c r="P60" s="3752"/>
      <c r="Q60" s="1049">
        <f>+P61</f>
        <v>1800000</v>
      </c>
      <c r="R60" s="1049">
        <v>1800000</v>
      </c>
      <c r="S60" s="1050">
        <f>Q60-R60</f>
        <v>0</v>
      </c>
      <c r="T60" s="1051">
        <f t="shared" ref="T60:T108" si="21">S60/R60</f>
        <v>0</v>
      </c>
    </row>
    <row r="61" spans="1:20" ht="15" customHeight="1">
      <c r="A61" s="617"/>
      <c r="B61" s="632"/>
      <c r="C61" s="719"/>
      <c r="D61" s="632"/>
      <c r="F61" s="1507" t="s">
        <v>88</v>
      </c>
      <c r="G61" s="686"/>
      <c r="H61" s="679"/>
      <c r="I61" s="679"/>
      <c r="J61" s="679"/>
      <c r="K61" s="679"/>
      <c r="L61" s="1508"/>
      <c r="M61" s="679"/>
      <c r="N61" s="687"/>
      <c r="O61" s="687"/>
      <c r="P61" s="681">
        <f>SUM(P62:P62)</f>
        <v>1800000</v>
      </c>
      <c r="Q61" s="2517">
        <f>P61</f>
        <v>1800000</v>
      </c>
      <c r="R61" s="653">
        <v>1800000</v>
      </c>
      <c r="S61" s="654">
        <f t="shared" ref="S61" si="22">Q61-R61</f>
        <v>0</v>
      </c>
      <c r="T61" s="2518">
        <f t="shared" si="21"/>
        <v>0</v>
      </c>
    </row>
    <row r="62" spans="1:20" ht="15" customHeight="1">
      <c r="A62" s="617"/>
      <c r="B62" s="632"/>
      <c r="C62" s="719"/>
      <c r="D62" s="632"/>
      <c r="E62" s="3358"/>
      <c r="F62" s="1511" t="s">
        <v>753</v>
      </c>
      <c r="G62" s="1568">
        <v>900000</v>
      </c>
      <c r="H62" s="1168" t="s">
        <v>21</v>
      </c>
      <c r="I62" s="2291">
        <v>2</v>
      </c>
      <c r="J62" s="691"/>
      <c r="K62" s="691"/>
      <c r="L62" s="1512"/>
      <c r="M62" s="691"/>
      <c r="N62" s="701"/>
      <c r="O62" s="692" t="s">
        <v>22</v>
      </c>
      <c r="P62" s="693">
        <f>ROUNDUP(G62*I62,-3)</f>
        <v>1800000</v>
      </c>
      <c r="Q62" s="694"/>
      <c r="R62" s="694"/>
      <c r="S62" s="695"/>
      <c r="T62" s="696"/>
    </row>
    <row r="63" spans="1:20" ht="15" customHeight="1">
      <c r="A63" s="617"/>
      <c r="B63" s="632"/>
      <c r="C63" s="719"/>
      <c r="D63" s="632"/>
      <c r="E63" s="3750" t="s">
        <v>193</v>
      </c>
      <c r="F63" s="3751"/>
      <c r="G63" s="3751"/>
      <c r="H63" s="3751"/>
      <c r="I63" s="3751"/>
      <c r="J63" s="3751"/>
      <c r="K63" s="3751"/>
      <c r="L63" s="3751"/>
      <c r="M63" s="3751"/>
      <c r="N63" s="3751"/>
      <c r="O63" s="3751"/>
      <c r="P63" s="3752"/>
      <c r="Q63" s="645">
        <f>+P64</f>
        <v>16896000</v>
      </c>
      <c r="R63" s="645">
        <v>13380000</v>
      </c>
      <c r="S63" s="646">
        <f>Q63-R63</f>
        <v>3516000</v>
      </c>
      <c r="T63" s="647">
        <f t="shared" si="21"/>
        <v>0.26278026905829599</v>
      </c>
    </row>
    <row r="64" spans="1:20" ht="15" customHeight="1">
      <c r="A64" s="617"/>
      <c r="B64" s="632"/>
      <c r="C64" s="719"/>
      <c r="D64" s="632"/>
      <c r="F64" s="1413" t="s">
        <v>93</v>
      </c>
      <c r="G64" s="686"/>
      <c r="H64" s="679"/>
      <c r="I64" s="679"/>
      <c r="J64" s="679"/>
      <c r="K64" s="679"/>
      <c r="L64" s="1508"/>
      <c r="M64" s="679"/>
      <c r="N64" s="687"/>
      <c r="O64" s="687"/>
      <c r="P64" s="652">
        <f>SUM(P65:P69)</f>
        <v>16896000</v>
      </c>
      <c r="Q64" s="2517">
        <f>P64</f>
        <v>16896000</v>
      </c>
      <c r="R64" s="653">
        <v>13380000</v>
      </c>
      <c r="S64" s="654">
        <f t="shared" ref="S64" si="23">Q64-R64</f>
        <v>3516000</v>
      </c>
      <c r="T64" s="2518">
        <f t="shared" si="21"/>
        <v>0.26278026905829599</v>
      </c>
    </row>
    <row r="65" spans="1:20" ht="15" customHeight="1">
      <c r="A65" s="617"/>
      <c r="B65" s="632"/>
      <c r="C65" s="719"/>
      <c r="D65" s="632"/>
      <c r="E65" s="3358"/>
      <c r="F65" s="1415" t="s">
        <v>1136</v>
      </c>
      <c r="G65" s="2105">
        <v>300000</v>
      </c>
      <c r="H65" s="659" t="s">
        <v>21</v>
      </c>
      <c r="I65" s="2416">
        <v>1</v>
      </c>
      <c r="J65" s="659" t="s">
        <v>21</v>
      </c>
      <c r="K65" s="2414">
        <v>12</v>
      </c>
      <c r="L65" s="1512"/>
      <c r="M65" s="691"/>
      <c r="N65" s="701"/>
      <c r="O65" s="664" t="s">
        <v>22</v>
      </c>
      <c r="P65" s="665">
        <f>ROUNDUP(G65*I65*K65,-3)</f>
        <v>3600000</v>
      </c>
      <c r="Q65" s="694"/>
      <c r="R65" s="694"/>
      <c r="S65" s="695"/>
      <c r="T65" s="696"/>
    </row>
    <row r="66" spans="1:20" ht="15" customHeight="1">
      <c r="A66" s="617"/>
      <c r="B66" s="632"/>
      <c r="C66" s="719"/>
      <c r="D66" s="632"/>
      <c r="E66" s="3358"/>
      <c r="F66" s="1423" t="s">
        <v>1137</v>
      </c>
      <c r="G66" s="722">
        <v>503000</v>
      </c>
      <c r="H66" s="662" t="s">
        <v>1138</v>
      </c>
      <c r="I66" s="2524">
        <v>1</v>
      </c>
      <c r="J66" s="662" t="s">
        <v>21</v>
      </c>
      <c r="K66" s="663">
        <v>12</v>
      </c>
      <c r="L66" s="1492"/>
      <c r="M66" s="1417"/>
      <c r="N66" s="1421"/>
      <c r="O66" s="669" t="s">
        <v>1139</v>
      </c>
      <c r="P66" s="665">
        <f t="shared" ref="P66:P69" si="24">ROUNDUP(G66*I66*K66,-3)</f>
        <v>6036000</v>
      </c>
      <c r="Q66" s="694"/>
      <c r="R66" s="694"/>
      <c r="S66" s="695"/>
      <c r="T66" s="696"/>
    </row>
    <row r="67" spans="1:20" ht="15" customHeight="1">
      <c r="A67" s="617"/>
      <c r="B67" s="632"/>
      <c r="C67" s="719"/>
      <c r="D67" s="632"/>
      <c r="E67" s="3291"/>
      <c r="F67" s="1423" t="s">
        <v>1140</v>
      </c>
      <c r="G67" s="722">
        <v>25000</v>
      </c>
      <c r="H67" s="662" t="s">
        <v>1141</v>
      </c>
      <c r="I67" s="2524">
        <v>7</v>
      </c>
      <c r="J67" s="662" t="s">
        <v>21</v>
      </c>
      <c r="K67" s="663">
        <v>12</v>
      </c>
      <c r="L67" s="1512"/>
      <c r="M67" s="691"/>
      <c r="N67" s="701"/>
      <c r="O67" s="669" t="s">
        <v>1139</v>
      </c>
      <c r="P67" s="665">
        <f t="shared" si="24"/>
        <v>2100000</v>
      </c>
      <c r="Q67" s="694"/>
      <c r="R67" s="694"/>
      <c r="S67" s="695"/>
      <c r="T67" s="696"/>
    </row>
    <row r="68" spans="1:20" ht="15" customHeight="1">
      <c r="A68" s="617"/>
      <c r="B68" s="632"/>
      <c r="C68" s="719"/>
      <c r="D68" s="632"/>
      <c r="E68" s="3291"/>
      <c r="F68" s="1423" t="s">
        <v>1142</v>
      </c>
      <c r="G68" s="722">
        <v>25000</v>
      </c>
      <c r="H68" s="662" t="s">
        <v>922</v>
      </c>
      <c r="I68" s="2524">
        <v>6</v>
      </c>
      <c r="J68" s="662" t="s">
        <v>21</v>
      </c>
      <c r="K68" s="663">
        <v>12</v>
      </c>
      <c r="L68" s="1512"/>
      <c r="M68" s="691"/>
      <c r="N68" s="701"/>
      <c r="O68" s="669" t="s">
        <v>1139</v>
      </c>
      <c r="P68" s="665">
        <f t="shared" si="24"/>
        <v>1800000</v>
      </c>
      <c r="Q68" s="694"/>
      <c r="R68" s="694"/>
      <c r="S68" s="695"/>
      <c r="T68" s="696"/>
    </row>
    <row r="69" spans="1:20" ht="15" customHeight="1">
      <c r="A69" s="617"/>
      <c r="B69" s="632"/>
      <c r="C69" s="719"/>
      <c r="D69" s="632"/>
      <c r="E69" s="3291"/>
      <c r="F69" s="1423" t="s">
        <v>1143</v>
      </c>
      <c r="G69" s="722">
        <v>40000</v>
      </c>
      <c r="H69" s="662" t="s">
        <v>922</v>
      </c>
      <c r="I69" s="2524">
        <v>7</v>
      </c>
      <c r="J69" s="662" t="s">
        <v>21</v>
      </c>
      <c r="K69" s="663">
        <v>12</v>
      </c>
      <c r="L69" s="1512"/>
      <c r="M69" s="691"/>
      <c r="N69" s="701"/>
      <c r="O69" s="669" t="s">
        <v>856</v>
      </c>
      <c r="P69" s="665">
        <f t="shared" si="24"/>
        <v>3360000</v>
      </c>
      <c r="Q69" s="694"/>
      <c r="R69" s="694"/>
      <c r="S69" s="695"/>
      <c r="T69" s="696"/>
    </row>
    <row r="70" spans="1:20" ht="15" customHeight="1">
      <c r="A70" s="617"/>
      <c r="B70" s="632"/>
      <c r="C70" s="719"/>
      <c r="D70" s="632"/>
      <c r="E70" s="3750" t="s">
        <v>3040</v>
      </c>
      <c r="F70" s="3751"/>
      <c r="G70" s="3751"/>
      <c r="H70" s="3751"/>
      <c r="I70" s="3751"/>
      <c r="J70" s="3751"/>
      <c r="K70" s="3751"/>
      <c r="L70" s="3751"/>
      <c r="M70" s="3751"/>
      <c r="N70" s="3751"/>
      <c r="O70" s="3751"/>
      <c r="P70" s="3752"/>
      <c r="Q70" s="645">
        <f>+P71</f>
        <v>93338000</v>
      </c>
      <c r="R70" s="645">
        <v>93620000</v>
      </c>
      <c r="S70" s="646">
        <f>Q70-R70</f>
        <v>-282000</v>
      </c>
      <c r="T70" s="647">
        <f t="shared" si="21"/>
        <v>-3.0121768852809229E-3</v>
      </c>
    </row>
    <row r="71" spans="1:20" ht="15" customHeight="1">
      <c r="A71" s="617"/>
      <c r="B71" s="632"/>
      <c r="C71" s="719"/>
      <c r="D71" s="632"/>
      <c r="F71" s="1507" t="s">
        <v>94</v>
      </c>
      <c r="G71" s="686"/>
      <c r="H71" s="679"/>
      <c r="I71" s="679"/>
      <c r="J71" s="679"/>
      <c r="K71" s="679"/>
      <c r="L71" s="1508"/>
      <c r="M71" s="679"/>
      <c r="N71" s="687"/>
      <c r="O71" s="687"/>
      <c r="P71" s="681">
        <f>SUM(P72:P89)</f>
        <v>93338000</v>
      </c>
      <c r="Q71" s="2517">
        <f>P71</f>
        <v>93338000</v>
      </c>
      <c r="R71" s="653">
        <v>93620000</v>
      </c>
      <c r="S71" s="654">
        <f t="shared" ref="S71" si="25">Q71-R71</f>
        <v>-282000</v>
      </c>
      <c r="T71" s="2518">
        <f t="shared" si="21"/>
        <v>-3.0121768852809229E-3</v>
      </c>
    </row>
    <row r="72" spans="1:20" ht="15" customHeight="1">
      <c r="A72" s="617"/>
      <c r="B72" s="632"/>
      <c r="C72" s="719"/>
      <c r="D72" s="632"/>
      <c r="E72" s="3358"/>
      <c r="F72" s="1511" t="s">
        <v>1144</v>
      </c>
      <c r="G72" s="1568">
        <v>600000</v>
      </c>
      <c r="H72" s="1168" t="s">
        <v>21</v>
      </c>
      <c r="I72" s="2291">
        <v>2</v>
      </c>
      <c r="J72" s="691"/>
      <c r="K72" s="691"/>
      <c r="L72" s="1512"/>
      <c r="M72" s="691"/>
      <c r="N72" s="701"/>
      <c r="O72" s="692" t="s">
        <v>22</v>
      </c>
      <c r="P72" s="693">
        <f t="shared" ref="P72:P86" si="26">ROUNDUP(G72*I72,-3)</f>
        <v>1200000</v>
      </c>
      <c r="Q72" s="694"/>
      <c r="R72" s="694"/>
      <c r="S72" s="695"/>
      <c r="T72" s="696"/>
    </row>
    <row r="73" spans="1:20" ht="15" customHeight="1">
      <c r="A73" s="617"/>
      <c r="B73" s="632"/>
      <c r="C73" s="719"/>
      <c r="D73" s="632"/>
      <c r="E73" s="3358"/>
      <c r="F73" s="2231" t="s">
        <v>1145</v>
      </c>
      <c r="G73" s="1568">
        <v>250000</v>
      </c>
      <c r="H73" s="1168" t="s">
        <v>21</v>
      </c>
      <c r="I73" s="2291">
        <v>12</v>
      </c>
      <c r="J73" s="691"/>
      <c r="K73" s="691"/>
      <c r="L73" s="1512"/>
      <c r="M73" s="691"/>
      <c r="N73" s="701"/>
      <c r="O73" s="692" t="s">
        <v>22</v>
      </c>
      <c r="P73" s="693">
        <f t="shared" si="26"/>
        <v>3000000</v>
      </c>
      <c r="Q73" s="694"/>
      <c r="R73" s="694"/>
      <c r="S73" s="695"/>
      <c r="T73" s="696"/>
    </row>
    <row r="74" spans="1:20" ht="15" customHeight="1">
      <c r="A74" s="617"/>
      <c r="B74" s="632"/>
      <c r="C74" s="719"/>
      <c r="D74" s="632"/>
      <c r="E74" s="3358"/>
      <c r="F74" s="1415" t="s">
        <v>1146</v>
      </c>
      <c r="G74" s="1568">
        <v>140000</v>
      </c>
      <c r="H74" s="1168" t="s">
        <v>21</v>
      </c>
      <c r="I74" s="1571">
        <v>12</v>
      </c>
      <c r="J74" s="691"/>
      <c r="K74" s="691"/>
      <c r="L74" s="1512"/>
      <c r="M74" s="691"/>
      <c r="N74" s="701"/>
      <c r="O74" s="692" t="s">
        <v>22</v>
      </c>
      <c r="P74" s="693">
        <f t="shared" si="26"/>
        <v>1680000</v>
      </c>
      <c r="Q74" s="694"/>
      <c r="R74" s="694"/>
      <c r="S74" s="695"/>
      <c r="T74" s="696"/>
    </row>
    <row r="75" spans="1:20" ht="15" customHeight="1">
      <c r="A75" s="617"/>
      <c r="B75" s="632"/>
      <c r="C75" s="719"/>
      <c r="D75" s="632"/>
      <c r="E75" s="3358"/>
      <c r="F75" s="1511" t="s">
        <v>740</v>
      </c>
      <c r="G75" s="1568">
        <v>825000</v>
      </c>
      <c r="H75" s="1168" t="s">
        <v>21</v>
      </c>
      <c r="I75" s="1571">
        <v>12</v>
      </c>
      <c r="J75" s="691"/>
      <c r="K75" s="691"/>
      <c r="L75" s="1512"/>
      <c r="M75" s="691"/>
      <c r="N75" s="701"/>
      <c r="O75" s="692" t="s">
        <v>22</v>
      </c>
      <c r="P75" s="693">
        <f t="shared" si="26"/>
        <v>9900000</v>
      </c>
      <c r="Q75" s="694"/>
      <c r="R75" s="694"/>
      <c r="S75" s="695"/>
      <c r="T75" s="696"/>
    </row>
    <row r="76" spans="1:20" ht="15" customHeight="1">
      <c r="A76" s="617"/>
      <c r="B76" s="632"/>
      <c r="C76" s="719"/>
      <c r="D76" s="632"/>
      <c r="E76" s="3358"/>
      <c r="F76" s="1415" t="s">
        <v>741</v>
      </c>
      <c r="G76" s="2105">
        <v>1750000</v>
      </c>
      <c r="H76" s="659" t="s">
        <v>21</v>
      </c>
      <c r="I76" s="2392">
        <v>4</v>
      </c>
      <c r="J76" s="1417"/>
      <c r="K76" s="1417"/>
      <c r="L76" s="1492"/>
      <c r="M76" s="1417"/>
      <c r="N76" s="1421"/>
      <c r="O76" s="664" t="s">
        <v>22</v>
      </c>
      <c r="P76" s="693">
        <f t="shared" si="26"/>
        <v>7000000</v>
      </c>
      <c r="Q76" s="2457"/>
      <c r="R76" s="694"/>
      <c r="S76" s="695"/>
      <c r="T76" s="696"/>
    </row>
    <row r="77" spans="1:20" ht="15" customHeight="1">
      <c r="A77" s="759"/>
      <c r="B77" s="703"/>
      <c r="C77" s="619"/>
      <c r="D77" s="703"/>
      <c r="E77" s="3365"/>
      <c r="F77" s="1442" t="s">
        <v>2931</v>
      </c>
      <c r="G77" s="2525">
        <v>8000000</v>
      </c>
      <c r="H77" s="2419" t="s">
        <v>21</v>
      </c>
      <c r="I77" s="2420">
        <v>1</v>
      </c>
      <c r="J77" s="2419"/>
      <c r="K77" s="2419"/>
      <c r="L77" s="2421"/>
      <c r="M77" s="2419"/>
      <c r="N77" s="2422"/>
      <c r="O77" s="2422" t="s">
        <v>22</v>
      </c>
      <c r="P77" s="1560">
        <f t="shared" si="26"/>
        <v>8000000</v>
      </c>
      <c r="Q77" s="2526"/>
      <c r="R77" s="712"/>
      <c r="S77" s="713"/>
      <c r="T77" s="714"/>
    </row>
    <row r="78" spans="1:20" ht="15" customHeight="1">
      <c r="A78" s="3007"/>
      <c r="B78" s="626"/>
      <c r="C78" s="733"/>
      <c r="D78" s="626"/>
      <c r="E78" s="3376"/>
      <c r="F78" s="3008" t="s">
        <v>2932</v>
      </c>
      <c r="G78" s="3009">
        <v>7000000</v>
      </c>
      <c r="H78" s="3010" t="s">
        <v>21</v>
      </c>
      <c r="I78" s="3011">
        <v>1</v>
      </c>
      <c r="J78" s="3010"/>
      <c r="K78" s="3010"/>
      <c r="L78" s="3012"/>
      <c r="M78" s="3010"/>
      <c r="N78" s="3013"/>
      <c r="O78" s="3013" t="s">
        <v>22</v>
      </c>
      <c r="P78" s="3014">
        <f t="shared" si="26"/>
        <v>7000000</v>
      </c>
      <c r="Q78" s="3015"/>
      <c r="R78" s="3016"/>
      <c r="S78" s="3017"/>
      <c r="T78" s="3018"/>
    </row>
    <row r="79" spans="1:20" ht="15" customHeight="1">
      <c r="A79" s="617"/>
      <c r="B79" s="632"/>
      <c r="C79" s="719"/>
      <c r="D79" s="632"/>
      <c r="E79" s="3358"/>
      <c r="F79" s="1415" t="s">
        <v>2933</v>
      </c>
      <c r="G79" s="2105">
        <v>7000000</v>
      </c>
      <c r="H79" s="659" t="s">
        <v>21</v>
      </c>
      <c r="I79" s="2392">
        <v>1</v>
      </c>
      <c r="J79" s="659"/>
      <c r="K79" s="659"/>
      <c r="L79" s="2397"/>
      <c r="M79" s="659"/>
      <c r="N79" s="664"/>
      <c r="O79" s="664" t="s">
        <v>22</v>
      </c>
      <c r="P79" s="693">
        <f t="shared" si="26"/>
        <v>7000000</v>
      </c>
      <c r="Q79" s="2457"/>
      <c r="R79" s="694"/>
      <c r="S79" s="695"/>
      <c r="T79" s="696"/>
    </row>
    <row r="80" spans="1:20" ht="15" customHeight="1">
      <c r="A80" s="617"/>
      <c r="B80" s="632"/>
      <c r="C80" s="719"/>
      <c r="D80" s="632"/>
      <c r="E80" s="3358"/>
      <c r="F80" s="1415" t="s">
        <v>2934</v>
      </c>
      <c r="G80" s="2105">
        <v>4000000</v>
      </c>
      <c r="H80" s="659" t="s">
        <v>21</v>
      </c>
      <c r="I80" s="2392">
        <v>1</v>
      </c>
      <c r="J80" s="659"/>
      <c r="K80" s="659"/>
      <c r="L80" s="2397"/>
      <c r="M80" s="659"/>
      <c r="N80" s="664"/>
      <c r="O80" s="664" t="s">
        <v>22</v>
      </c>
      <c r="P80" s="693">
        <f t="shared" si="26"/>
        <v>4000000</v>
      </c>
      <c r="Q80" s="2457"/>
      <c r="R80" s="694"/>
      <c r="S80" s="695"/>
      <c r="T80" s="696"/>
    </row>
    <row r="81" spans="1:20" ht="15" customHeight="1">
      <c r="A81" s="617"/>
      <c r="B81" s="632"/>
      <c r="C81" s="719"/>
      <c r="D81" s="632"/>
      <c r="E81" s="3358"/>
      <c r="F81" s="1415" t="s">
        <v>2935</v>
      </c>
      <c r="G81" s="2105">
        <v>5000000</v>
      </c>
      <c r="H81" s="659" t="s">
        <v>21</v>
      </c>
      <c r="I81" s="2392">
        <v>1</v>
      </c>
      <c r="J81" s="659"/>
      <c r="K81" s="659"/>
      <c r="L81" s="2397"/>
      <c r="M81" s="659"/>
      <c r="N81" s="664"/>
      <c r="O81" s="664" t="s">
        <v>22</v>
      </c>
      <c r="P81" s="693">
        <f t="shared" si="26"/>
        <v>5000000</v>
      </c>
      <c r="Q81" s="2457"/>
      <c r="R81" s="694"/>
      <c r="S81" s="695"/>
      <c r="T81" s="696"/>
    </row>
    <row r="82" spans="1:20" ht="15" customHeight="1">
      <c r="A82" s="617"/>
      <c r="B82" s="632"/>
      <c r="C82" s="719"/>
      <c r="D82" s="632"/>
      <c r="E82" s="3358"/>
      <c r="F82" s="1415" t="s">
        <v>2936</v>
      </c>
      <c r="G82" s="2105">
        <v>5000000</v>
      </c>
      <c r="H82" s="659" t="s">
        <v>21</v>
      </c>
      <c r="I82" s="2392">
        <v>1</v>
      </c>
      <c r="J82" s="659"/>
      <c r="K82" s="659"/>
      <c r="L82" s="2397"/>
      <c r="M82" s="659"/>
      <c r="N82" s="664"/>
      <c r="O82" s="664" t="s">
        <v>22</v>
      </c>
      <c r="P82" s="693">
        <f t="shared" si="26"/>
        <v>5000000</v>
      </c>
      <c r="Q82" s="2457"/>
      <c r="R82" s="694"/>
      <c r="S82" s="695"/>
      <c r="T82" s="696"/>
    </row>
    <row r="83" spans="1:20" ht="15" customHeight="1">
      <c r="A83" s="617"/>
      <c r="B83" s="632"/>
      <c r="C83" s="719"/>
      <c r="D83" s="632"/>
      <c r="E83" s="3358"/>
      <c r="F83" s="1415" t="s">
        <v>2937</v>
      </c>
      <c r="G83" s="2105">
        <v>5000000</v>
      </c>
      <c r="H83" s="659" t="s">
        <v>21</v>
      </c>
      <c r="I83" s="2392">
        <v>1</v>
      </c>
      <c r="J83" s="659"/>
      <c r="K83" s="659"/>
      <c r="L83" s="2397"/>
      <c r="M83" s="659"/>
      <c r="N83" s="664"/>
      <c r="O83" s="664" t="s">
        <v>22</v>
      </c>
      <c r="P83" s="693">
        <f t="shared" si="26"/>
        <v>5000000</v>
      </c>
      <c r="Q83" s="2457"/>
      <c r="R83" s="694"/>
      <c r="S83" s="695"/>
      <c r="T83" s="696"/>
    </row>
    <row r="84" spans="1:20" ht="15" customHeight="1">
      <c r="A84" s="617"/>
      <c r="B84" s="632"/>
      <c r="C84" s="719"/>
      <c r="D84" s="632"/>
      <c r="E84" s="3358"/>
      <c r="F84" s="1415" t="s">
        <v>2938</v>
      </c>
      <c r="G84" s="2105">
        <v>8370000</v>
      </c>
      <c r="H84" s="659" t="s">
        <v>21</v>
      </c>
      <c r="I84" s="2392">
        <v>1</v>
      </c>
      <c r="J84" s="659"/>
      <c r="K84" s="659"/>
      <c r="L84" s="2397"/>
      <c r="M84" s="659"/>
      <c r="N84" s="664"/>
      <c r="O84" s="664" t="s">
        <v>22</v>
      </c>
      <c r="P84" s="693">
        <f t="shared" si="26"/>
        <v>8370000</v>
      </c>
      <c r="Q84" s="2457"/>
      <c r="R84" s="694"/>
      <c r="S84" s="695"/>
      <c r="T84" s="696"/>
    </row>
    <row r="85" spans="1:20" ht="15" customHeight="1">
      <c r="A85" s="617"/>
      <c r="B85" s="632"/>
      <c r="C85" s="719"/>
      <c r="D85" s="632"/>
      <c r="E85" s="3358"/>
      <c r="F85" s="1415" t="s">
        <v>742</v>
      </c>
      <c r="G85" s="2105">
        <v>200000</v>
      </c>
      <c r="H85" s="659" t="s">
        <v>21</v>
      </c>
      <c r="I85" s="2414">
        <v>12</v>
      </c>
      <c r="J85" s="659"/>
      <c r="K85" s="659"/>
      <c r="L85" s="2397"/>
      <c r="M85" s="659"/>
      <c r="N85" s="664"/>
      <c r="O85" s="664" t="s">
        <v>22</v>
      </c>
      <c r="P85" s="693">
        <f t="shared" si="26"/>
        <v>2400000</v>
      </c>
      <c r="Q85" s="2457"/>
      <c r="R85" s="694"/>
      <c r="S85" s="695"/>
      <c r="T85" s="696"/>
    </row>
    <row r="86" spans="1:20" ht="15" customHeight="1">
      <c r="A86" s="617"/>
      <c r="B86" s="632"/>
      <c r="C86" s="719"/>
      <c r="D86" s="632"/>
      <c r="E86" s="3358"/>
      <c r="F86" s="1415" t="s">
        <v>743</v>
      </c>
      <c r="G86" s="2105">
        <v>1250000</v>
      </c>
      <c r="H86" s="659" t="s">
        <v>21</v>
      </c>
      <c r="I86" s="2392">
        <v>4</v>
      </c>
      <c r="J86" s="1417"/>
      <c r="K86" s="1417"/>
      <c r="L86" s="1492"/>
      <c r="M86" s="1417"/>
      <c r="N86" s="1421"/>
      <c r="O86" s="664" t="s">
        <v>22</v>
      </c>
      <c r="P86" s="693">
        <f t="shared" si="26"/>
        <v>5000000</v>
      </c>
      <c r="Q86" s="2457"/>
      <c r="R86" s="694"/>
      <c r="S86" s="695"/>
      <c r="T86" s="696"/>
    </row>
    <row r="87" spans="1:20" ht="15" customHeight="1">
      <c r="A87" s="617"/>
      <c r="B87" s="632"/>
      <c r="C87" s="719"/>
      <c r="D87" s="632"/>
      <c r="E87" s="3358"/>
      <c r="F87" s="1415" t="s">
        <v>744</v>
      </c>
      <c r="G87" s="2105">
        <v>137000</v>
      </c>
      <c r="H87" s="659" t="s">
        <v>21</v>
      </c>
      <c r="I87" s="2416">
        <v>2</v>
      </c>
      <c r="J87" s="659" t="s">
        <v>21</v>
      </c>
      <c r="K87" s="2414">
        <v>12</v>
      </c>
      <c r="L87" s="1492"/>
      <c r="M87" s="1417"/>
      <c r="N87" s="1421"/>
      <c r="O87" s="664" t="s">
        <v>22</v>
      </c>
      <c r="P87" s="665">
        <f>ROUNDUP(G87*I87*K87,-3)</f>
        <v>3288000</v>
      </c>
      <c r="Q87" s="2457"/>
      <c r="R87" s="694"/>
      <c r="S87" s="695"/>
      <c r="T87" s="696"/>
    </row>
    <row r="88" spans="1:20" ht="15" customHeight="1">
      <c r="A88" s="617"/>
      <c r="B88" s="632"/>
      <c r="C88" s="719"/>
      <c r="D88" s="632"/>
      <c r="E88" s="3358"/>
      <c r="F88" s="1415" t="s">
        <v>745</v>
      </c>
      <c r="G88" s="2105">
        <v>4500000</v>
      </c>
      <c r="H88" s="659" t="s">
        <v>21</v>
      </c>
      <c r="I88" s="2392">
        <v>1</v>
      </c>
      <c r="J88" s="1417"/>
      <c r="K88" s="1417"/>
      <c r="L88" s="1492"/>
      <c r="M88" s="1417"/>
      <c r="N88" s="1421"/>
      <c r="O88" s="664" t="s">
        <v>22</v>
      </c>
      <c r="P88" s="665">
        <f>ROUNDUP(G88*I88,-3)</f>
        <v>4500000</v>
      </c>
      <c r="Q88" s="2457"/>
      <c r="R88" s="694"/>
      <c r="S88" s="695"/>
      <c r="T88" s="696"/>
    </row>
    <row r="89" spans="1:20" ht="15" customHeight="1">
      <c r="A89" s="617"/>
      <c r="B89" s="632"/>
      <c r="C89" s="719"/>
      <c r="D89" s="632"/>
      <c r="E89" s="3358"/>
      <c r="F89" s="1415" t="s">
        <v>1147</v>
      </c>
      <c r="G89" s="2105">
        <v>1500000</v>
      </c>
      <c r="H89" s="659" t="s">
        <v>21</v>
      </c>
      <c r="I89" s="2392">
        <v>4</v>
      </c>
      <c r="J89" s="1417"/>
      <c r="K89" s="1417"/>
      <c r="L89" s="1492"/>
      <c r="M89" s="1417"/>
      <c r="N89" s="1421"/>
      <c r="O89" s="664" t="s">
        <v>22</v>
      </c>
      <c r="P89" s="665">
        <f>ROUNDUP(G89*I89,-3)</f>
        <v>6000000</v>
      </c>
      <c r="Q89" s="2457"/>
      <c r="R89" s="694"/>
      <c r="S89" s="695"/>
      <c r="T89" s="696"/>
    </row>
    <row r="90" spans="1:20" ht="15" customHeight="1">
      <c r="A90" s="617"/>
      <c r="B90" s="632"/>
      <c r="C90" s="719"/>
      <c r="D90" s="632"/>
      <c r="E90" s="3750" t="s">
        <v>3041</v>
      </c>
      <c r="F90" s="3751"/>
      <c r="G90" s="3751"/>
      <c r="H90" s="3751"/>
      <c r="I90" s="3751"/>
      <c r="J90" s="3751"/>
      <c r="K90" s="3751"/>
      <c r="L90" s="3751"/>
      <c r="M90" s="3751"/>
      <c r="N90" s="3751"/>
      <c r="O90" s="3751"/>
      <c r="P90" s="3752"/>
      <c r="Q90" s="645">
        <f>+P91</f>
        <v>840000</v>
      </c>
      <c r="R90" s="645">
        <v>840000</v>
      </c>
      <c r="S90" s="646">
        <f>Q90-R90</f>
        <v>0</v>
      </c>
      <c r="T90" s="647">
        <f t="shared" si="21"/>
        <v>0</v>
      </c>
    </row>
    <row r="91" spans="1:20" ht="15" customHeight="1">
      <c r="A91" s="617"/>
      <c r="B91" s="632"/>
      <c r="C91" s="719"/>
      <c r="D91" s="632"/>
      <c r="F91" s="1507" t="s">
        <v>95</v>
      </c>
      <c r="G91" s="686"/>
      <c r="H91" s="679"/>
      <c r="I91" s="679"/>
      <c r="J91" s="679"/>
      <c r="K91" s="679"/>
      <c r="L91" s="1508"/>
      <c r="M91" s="679"/>
      <c r="N91" s="687"/>
      <c r="O91" s="687"/>
      <c r="P91" s="681">
        <f>SUM(P92:P92)</f>
        <v>840000</v>
      </c>
      <c r="Q91" s="2517">
        <f>P91</f>
        <v>840000</v>
      </c>
      <c r="R91" s="653">
        <v>840000</v>
      </c>
      <c r="S91" s="654">
        <f t="shared" ref="S91" si="27">Q91-R91</f>
        <v>0</v>
      </c>
      <c r="T91" s="2518">
        <f t="shared" si="21"/>
        <v>0</v>
      </c>
    </row>
    <row r="92" spans="1:20" ht="15" customHeight="1">
      <c r="A92" s="617"/>
      <c r="B92" s="632"/>
      <c r="C92" s="719"/>
      <c r="D92" s="632"/>
      <c r="E92" s="3365"/>
      <c r="F92" s="1531" t="s">
        <v>96</v>
      </c>
      <c r="G92" s="1534">
        <v>70000</v>
      </c>
      <c r="H92" s="1136" t="s">
        <v>21</v>
      </c>
      <c r="I92" s="2527">
        <v>1</v>
      </c>
      <c r="J92" s="1136" t="s">
        <v>21</v>
      </c>
      <c r="K92" s="1536">
        <v>12</v>
      </c>
      <c r="L92" s="1582"/>
      <c r="M92" s="709"/>
      <c r="N92" s="710"/>
      <c r="O92" s="1537" t="s">
        <v>22</v>
      </c>
      <c r="P92" s="1560">
        <f>G92*I92*K92</f>
        <v>840000</v>
      </c>
      <c r="Q92" s="712"/>
      <c r="R92" s="712"/>
      <c r="S92" s="713"/>
      <c r="T92" s="714"/>
    </row>
    <row r="93" spans="1:20" ht="15" customHeight="1">
      <c r="A93" s="617"/>
      <c r="B93" s="632"/>
      <c r="C93" s="719"/>
      <c r="D93" s="632"/>
      <c r="E93" s="3750" t="s">
        <v>197</v>
      </c>
      <c r="F93" s="3751"/>
      <c r="G93" s="3751"/>
      <c r="H93" s="3751"/>
      <c r="I93" s="3751"/>
      <c r="J93" s="3751"/>
      <c r="K93" s="3751"/>
      <c r="L93" s="3751"/>
      <c r="M93" s="3751"/>
      <c r="N93" s="3751"/>
      <c r="O93" s="3751"/>
      <c r="P93" s="3752"/>
      <c r="Q93" s="1049">
        <f>+P94</f>
        <v>6150000</v>
      </c>
      <c r="R93" s="1049">
        <v>6789000</v>
      </c>
      <c r="S93" s="1050">
        <f>Q93-R93</f>
        <v>-639000</v>
      </c>
      <c r="T93" s="1051">
        <f t="shared" si="21"/>
        <v>-9.4122845779938138E-2</v>
      </c>
    </row>
    <row r="94" spans="1:20" ht="15" customHeight="1">
      <c r="A94" s="617"/>
      <c r="B94" s="632"/>
      <c r="C94" s="719"/>
      <c r="D94" s="632"/>
      <c r="E94" s="724"/>
      <c r="F94" s="1460" t="s">
        <v>97</v>
      </c>
      <c r="G94" s="1461"/>
      <c r="H94" s="1462"/>
      <c r="I94" s="1462"/>
      <c r="J94" s="1462"/>
      <c r="K94" s="1462"/>
      <c r="L94" s="1463"/>
      <c r="M94" s="1462"/>
      <c r="N94" s="1464"/>
      <c r="O94" s="1464"/>
      <c r="P94" s="1465">
        <f>SUM(P95:P96)</f>
        <v>6150000</v>
      </c>
      <c r="Q94" s="2517">
        <f>P94</f>
        <v>6150000</v>
      </c>
      <c r="R94" s="957">
        <v>6789000</v>
      </c>
      <c r="S94" s="654">
        <f t="shared" ref="S94" si="28">Q94-R94</f>
        <v>-639000</v>
      </c>
      <c r="T94" s="2518">
        <f t="shared" si="21"/>
        <v>-9.4122845779938138E-2</v>
      </c>
    </row>
    <row r="95" spans="1:20" ht="15" customHeight="1">
      <c r="A95" s="617"/>
      <c r="B95" s="632"/>
      <c r="C95" s="719"/>
      <c r="D95" s="632"/>
      <c r="E95" s="3358"/>
      <c r="F95" s="1415" t="s">
        <v>748</v>
      </c>
      <c r="G95" s="2105">
        <v>6000000</v>
      </c>
      <c r="H95" s="659" t="s">
        <v>21</v>
      </c>
      <c r="I95" s="2392">
        <v>1</v>
      </c>
      <c r="J95" s="1417"/>
      <c r="K95" s="1417"/>
      <c r="L95" s="1492"/>
      <c r="M95" s="1417"/>
      <c r="N95" s="1421"/>
      <c r="O95" s="664" t="s">
        <v>22</v>
      </c>
      <c r="P95" s="665">
        <f>ROUNDUP(G95*I95,-3)</f>
        <v>6000000</v>
      </c>
      <c r="Q95" s="694"/>
      <c r="R95" s="694"/>
      <c r="S95" s="695"/>
      <c r="T95" s="696"/>
    </row>
    <row r="96" spans="1:20" ht="15" customHeight="1">
      <c r="A96" s="617"/>
      <c r="B96" s="632"/>
      <c r="C96" s="719"/>
      <c r="D96" s="632"/>
      <c r="E96" s="3291"/>
      <c r="F96" s="1423" t="s">
        <v>98</v>
      </c>
      <c r="G96" s="2188">
        <v>150000</v>
      </c>
      <c r="H96" s="659" t="s">
        <v>21</v>
      </c>
      <c r="I96" s="2392">
        <v>1</v>
      </c>
      <c r="J96" s="1417"/>
      <c r="K96" s="1417"/>
      <c r="L96" s="1492"/>
      <c r="M96" s="1417"/>
      <c r="N96" s="1421"/>
      <c r="O96" s="664" t="s">
        <v>22</v>
      </c>
      <c r="P96" s="665">
        <f>ROUNDUP(G96*I96,-3)</f>
        <v>150000</v>
      </c>
      <c r="Q96" s="694"/>
      <c r="R96" s="694"/>
      <c r="S96" s="695"/>
      <c r="T96" s="696"/>
    </row>
    <row r="97" spans="1:27" ht="15" customHeight="1">
      <c r="A97" s="617"/>
      <c r="B97" s="632"/>
      <c r="C97" s="719"/>
      <c r="D97" s="632"/>
      <c r="E97" s="3750" t="s">
        <v>198</v>
      </c>
      <c r="F97" s="3751"/>
      <c r="G97" s="3751"/>
      <c r="H97" s="3751"/>
      <c r="I97" s="3751"/>
      <c r="J97" s="3751"/>
      <c r="K97" s="3751"/>
      <c r="L97" s="3751"/>
      <c r="M97" s="3751"/>
      <c r="N97" s="3751"/>
      <c r="O97" s="3751"/>
      <c r="P97" s="3752"/>
      <c r="Q97" s="645">
        <f>+P98</f>
        <v>4700000</v>
      </c>
      <c r="R97" s="645">
        <v>6555000</v>
      </c>
      <c r="S97" s="646">
        <f>Q97-R97</f>
        <v>-1855000</v>
      </c>
      <c r="T97" s="647">
        <f t="shared" si="21"/>
        <v>-0.28299008390541569</v>
      </c>
    </row>
    <row r="98" spans="1:27" ht="15" customHeight="1">
      <c r="A98" s="617"/>
      <c r="B98" s="632"/>
      <c r="C98" s="719"/>
      <c r="D98" s="632"/>
      <c r="F98" s="1507" t="s">
        <v>471</v>
      </c>
      <c r="G98" s="686"/>
      <c r="H98" s="679"/>
      <c r="I98" s="679"/>
      <c r="J98" s="679"/>
      <c r="K98" s="679"/>
      <c r="L98" s="1508"/>
      <c r="M98" s="679"/>
      <c r="N98" s="687"/>
      <c r="O98" s="687"/>
      <c r="P98" s="760">
        <f>SUM(P99:P103)</f>
        <v>4700000</v>
      </c>
      <c r="Q98" s="2517">
        <f>P98</f>
        <v>4700000</v>
      </c>
      <c r="R98" s="653">
        <v>6555000</v>
      </c>
      <c r="S98" s="654">
        <f t="shared" ref="S98" si="29">Q98-R98</f>
        <v>-1855000</v>
      </c>
      <c r="T98" s="2518">
        <f t="shared" si="21"/>
        <v>-0.28299008390541569</v>
      </c>
    </row>
    <row r="99" spans="1:27" ht="15" customHeight="1">
      <c r="A99" s="617"/>
      <c r="B99" s="632"/>
      <c r="C99" s="719"/>
      <c r="D99" s="632"/>
      <c r="F99" s="2231" t="s">
        <v>1148</v>
      </c>
      <c r="G99" s="1552">
        <v>235000</v>
      </c>
      <c r="H99" s="1168" t="s">
        <v>21</v>
      </c>
      <c r="I99" s="1571">
        <v>12</v>
      </c>
      <c r="J99" s="691"/>
      <c r="K99" s="691"/>
      <c r="L99" s="1512"/>
      <c r="M99" s="691"/>
      <c r="N99" s="701"/>
      <c r="O99" s="669" t="s">
        <v>916</v>
      </c>
      <c r="P99" s="2193">
        <f>ROUNDUP(G99*I99,-3)</f>
        <v>2820000</v>
      </c>
      <c r="Q99" s="694"/>
      <c r="R99" s="694"/>
      <c r="S99" s="695"/>
      <c r="T99" s="696"/>
      <c r="V99" s="1415"/>
      <c r="W99" s="2105"/>
      <c r="X99" s="659"/>
      <c r="Y99" s="2396"/>
      <c r="AA99" s="2090"/>
    </row>
    <row r="100" spans="1:27" ht="15" customHeight="1">
      <c r="A100" s="617"/>
      <c r="B100" s="632"/>
      <c r="C100" s="719"/>
      <c r="D100" s="632"/>
      <c r="F100" s="2231" t="s">
        <v>1149</v>
      </c>
      <c r="G100" s="1552">
        <v>90000</v>
      </c>
      <c r="H100" s="1168" t="s">
        <v>21</v>
      </c>
      <c r="I100" s="1571">
        <v>12</v>
      </c>
      <c r="J100" s="691"/>
      <c r="K100" s="691"/>
      <c r="L100" s="1512"/>
      <c r="M100" s="691"/>
      <c r="N100" s="701"/>
      <c r="O100" s="669" t="s">
        <v>916</v>
      </c>
      <c r="P100" s="2193">
        <f t="shared" ref="P100:P103" si="30">ROUNDUP(G100*I100,-3)</f>
        <v>1080000</v>
      </c>
      <c r="Q100" s="694"/>
      <c r="R100" s="694"/>
      <c r="S100" s="695"/>
      <c r="T100" s="696"/>
      <c r="V100" s="1415"/>
      <c r="W100" s="2105"/>
      <c r="X100" s="659"/>
      <c r="Y100" s="2396"/>
      <c r="AA100" s="2090"/>
    </row>
    <row r="101" spans="1:27" ht="15" customHeight="1">
      <c r="A101" s="617"/>
      <c r="B101" s="632"/>
      <c r="C101" s="719"/>
      <c r="D101" s="632"/>
      <c r="F101" s="2231" t="s">
        <v>1150</v>
      </c>
      <c r="G101" s="1552">
        <v>50000</v>
      </c>
      <c r="H101" s="1168" t="s">
        <v>21</v>
      </c>
      <c r="I101" s="2291">
        <v>1</v>
      </c>
      <c r="J101" s="691"/>
      <c r="K101" s="691"/>
      <c r="L101" s="1512"/>
      <c r="M101" s="691"/>
      <c r="N101" s="701"/>
      <c r="O101" s="669" t="s">
        <v>1151</v>
      </c>
      <c r="P101" s="2193">
        <f t="shared" si="30"/>
        <v>50000</v>
      </c>
      <c r="Q101" s="694"/>
      <c r="R101" s="694"/>
      <c r="S101" s="695"/>
      <c r="T101" s="696"/>
      <c r="AA101" s="2090"/>
    </row>
    <row r="102" spans="1:27" ht="15" customHeight="1">
      <c r="A102" s="617"/>
      <c r="B102" s="632"/>
      <c r="C102" s="719"/>
      <c r="D102" s="632"/>
      <c r="F102" s="2231" t="s">
        <v>1152</v>
      </c>
      <c r="G102" s="1552">
        <v>250000</v>
      </c>
      <c r="H102" s="1168" t="s">
        <v>21</v>
      </c>
      <c r="I102" s="2291">
        <v>1</v>
      </c>
      <c r="J102" s="691"/>
      <c r="K102" s="691"/>
      <c r="L102" s="1512"/>
      <c r="M102" s="691"/>
      <c r="N102" s="701"/>
      <c r="O102" s="669" t="s">
        <v>916</v>
      </c>
      <c r="P102" s="2193">
        <f t="shared" si="30"/>
        <v>250000</v>
      </c>
      <c r="Q102" s="694"/>
      <c r="R102" s="694"/>
      <c r="S102" s="695"/>
      <c r="T102" s="696"/>
    </row>
    <row r="103" spans="1:27" ht="15" customHeight="1">
      <c r="A103" s="617"/>
      <c r="B103" s="632"/>
      <c r="C103" s="719"/>
      <c r="D103" s="632"/>
      <c r="E103" s="3358"/>
      <c r="F103" s="1511" t="s">
        <v>472</v>
      </c>
      <c r="G103" s="1568">
        <v>500000</v>
      </c>
      <c r="H103" s="1168" t="s">
        <v>21</v>
      </c>
      <c r="I103" s="1553">
        <v>1</v>
      </c>
      <c r="J103" s="691"/>
      <c r="K103" s="691"/>
      <c r="L103" s="1512"/>
      <c r="M103" s="691"/>
      <c r="N103" s="701"/>
      <c r="O103" s="2528" t="s">
        <v>916</v>
      </c>
      <c r="P103" s="2193">
        <f t="shared" si="30"/>
        <v>500000</v>
      </c>
      <c r="Q103" s="694"/>
      <c r="R103" s="694"/>
      <c r="S103" s="695"/>
      <c r="T103" s="696"/>
    </row>
    <row r="104" spans="1:27" ht="15" customHeight="1">
      <c r="A104" s="617"/>
      <c r="B104" s="632"/>
      <c r="C104" s="719"/>
      <c r="D104" s="632"/>
      <c r="E104" s="3750" t="s">
        <v>3042</v>
      </c>
      <c r="F104" s="3751"/>
      <c r="G104" s="3751"/>
      <c r="H104" s="3751"/>
      <c r="I104" s="3751"/>
      <c r="J104" s="3751"/>
      <c r="K104" s="3751"/>
      <c r="L104" s="3751"/>
      <c r="M104" s="3751"/>
      <c r="N104" s="3751"/>
      <c r="O104" s="3751"/>
      <c r="P104" s="3752"/>
      <c r="Q104" s="645">
        <f>Q105</f>
        <v>500000</v>
      </c>
      <c r="R104" s="645">
        <f>R105</f>
        <v>0</v>
      </c>
      <c r="S104" s="646">
        <f>Q104-R104</f>
        <v>500000</v>
      </c>
      <c r="T104" s="647"/>
    </row>
    <row r="105" spans="1:27" ht="15" customHeight="1">
      <c r="A105" s="617"/>
      <c r="B105" s="632"/>
      <c r="C105" s="719"/>
      <c r="D105" s="632"/>
      <c r="E105" s="3377"/>
      <c r="F105" s="2529" t="s">
        <v>1243</v>
      </c>
      <c r="G105" s="679"/>
      <c r="H105" s="679"/>
      <c r="I105" s="679"/>
      <c r="J105" s="679"/>
      <c r="K105" s="679"/>
      <c r="L105" s="679"/>
      <c r="M105" s="679"/>
      <c r="N105" s="679"/>
      <c r="O105" s="679"/>
      <c r="P105" s="681">
        <f>SUM(P106:P106)</f>
        <v>500000</v>
      </c>
      <c r="Q105" s="2517">
        <f>P105</f>
        <v>500000</v>
      </c>
      <c r="R105" s="653">
        <v>0</v>
      </c>
      <c r="S105" s="654">
        <f t="shared" ref="S105" si="31">Q105-R105</f>
        <v>500000</v>
      </c>
      <c r="T105" s="2518"/>
    </row>
    <row r="106" spans="1:27" ht="15" customHeight="1">
      <c r="A106" s="617"/>
      <c r="B106" s="632"/>
      <c r="C106" s="719"/>
      <c r="D106" s="632"/>
      <c r="E106" s="1143"/>
      <c r="F106" s="2231" t="s">
        <v>2360</v>
      </c>
      <c r="G106" s="658">
        <v>500000</v>
      </c>
      <c r="H106" s="662" t="s">
        <v>2359</v>
      </c>
      <c r="I106" s="690">
        <v>1</v>
      </c>
      <c r="J106" s="1168"/>
      <c r="K106" s="1168"/>
      <c r="L106" s="1554"/>
      <c r="M106" s="1168"/>
      <c r="N106" s="692"/>
      <c r="O106" s="692" t="s">
        <v>22</v>
      </c>
      <c r="P106" s="693">
        <f>ROUNDUP(G106*I106,-3)</f>
        <v>500000</v>
      </c>
      <c r="Q106" s="666"/>
      <c r="R106" s="2530"/>
      <c r="S106" s="695"/>
      <c r="T106" s="696"/>
    </row>
    <row r="107" spans="1:27" ht="15" customHeight="1">
      <c r="A107" s="617"/>
      <c r="B107" s="632"/>
      <c r="C107" s="719"/>
      <c r="D107" s="632"/>
      <c r="E107" s="3750" t="s">
        <v>3043</v>
      </c>
      <c r="F107" s="3751"/>
      <c r="G107" s="3751"/>
      <c r="H107" s="3751"/>
      <c r="I107" s="3751"/>
      <c r="J107" s="3751"/>
      <c r="K107" s="3751"/>
      <c r="L107" s="3751"/>
      <c r="M107" s="3751"/>
      <c r="N107" s="3751"/>
      <c r="O107" s="3751"/>
      <c r="P107" s="3752"/>
      <c r="Q107" s="645">
        <f>+P108</f>
        <v>10000000</v>
      </c>
      <c r="R107" s="645">
        <v>10000000</v>
      </c>
      <c r="S107" s="646">
        <f>Q107-R107</f>
        <v>0</v>
      </c>
      <c r="T107" s="647">
        <f t="shared" si="21"/>
        <v>0</v>
      </c>
      <c r="AA107" s="2090"/>
    </row>
    <row r="108" spans="1:27" ht="15" customHeight="1">
      <c r="A108" s="617"/>
      <c r="B108" s="632"/>
      <c r="C108" s="719"/>
      <c r="D108" s="632"/>
      <c r="F108" s="1413" t="s">
        <v>109</v>
      </c>
      <c r="G108" s="650"/>
      <c r="H108" s="649"/>
      <c r="I108" s="649"/>
      <c r="J108" s="649"/>
      <c r="K108" s="649"/>
      <c r="L108" s="1414"/>
      <c r="M108" s="649"/>
      <c r="N108" s="651"/>
      <c r="O108" s="651"/>
      <c r="P108" s="652">
        <f>SUM(P109:P110)</f>
        <v>10000000</v>
      </c>
      <c r="Q108" s="2517">
        <f>P108</f>
        <v>10000000</v>
      </c>
      <c r="R108" s="653">
        <v>10000000</v>
      </c>
      <c r="S108" s="654">
        <f t="shared" ref="S108" si="32">Q108-R108</f>
        <v>0</v>
      </c>
      <c r="T108" s="2518">
        <f t="shared" si="21"/>
        <v>0</v>
      </c>
    </row>
    <row r="109" spans="1:27" ht="15" customHeight="1">
      <c r="A109" s="617"/>
      <c r="B109" s="632"/>
      <c r="C109" s="719"/>
      <c r="D109" s="632"/>
      <c r="E109" s="3358"/>
      <c r="F109" s="1415" t="s">
        <v>110</v>
      </c>
      <c r="G109" s="2105">
        <v>800000</v>
      </c>
      <c r="H109" s="659" t="s">
        <v>21</v>
      </c>
      <c r="I109" s="2392">
        <v>4</v>
      </c>
      <c r="J109" s="1417"/>
      <c r="K109" s="1417"/>
      <c r="L109" s="1492"/>
      <c r="M109" s="1417"/>
      <c r="N109" s="1421"/>
      <c r="O109" s="664" t="s">
        <v>22</v>
      </c>
      <c r="P109" s="665">
        <f>ROUNDUP(G109*I109,-3)</f>
        <v>3200000</v>
      </c>
      <c r="Q109" s="694"/>
      <c r="R109" s="694"/>
      <c r="S109" s="695"/>
      <c r="T109" s="696"/>
      <c r="AA109" s="2090"/>
    </row>
    <row r="110" spans="1:27" ht="15" customHeight="1">
      <c r="A110" s="617"/>
      <c r="B110" s="632"/>
      <c r="C110" s="719"/>
      <c r="D110" s="632"/>
      <c r="E110" s="3291"/>
      <c r="F110" s="1423" t="s">
        <v>749</v>
      </c>
      <c r="G110" s="2188">
        <v>1700000</v>
      </c>
      <c r="H110" s="659" t="s">
        <v>21</v>
      </c>
      <c r="I110" s="2392">
        <v>4</v>
      </c>
      <c r="J110" s="1417"/>
      <c r="K110" s="1417"/>
      <c r="L110" s="1492"/>
      <c r="M110" s="1417"/>
      <c r="N110" s="1421"/>
      <c r="O110" s="664" t="s">
        <v>22</v>
      </c>
      <c r="P110" s="665">
        <f>ROUNDUP(G110*I110,-3)</f>
        <v>6800000</v>
      </c>
      <c r="Q110" s="694"/>
      <c r="R110" s="694"/>
      <c r="S110" s="695"/>
      <c r="T110" s="696"/>
      <c r="AA110" s="2090"/>
    </row>
    <row r="111" spans="1:27" ht="15" customHeight="1">
      <c r="A111" s="617"/>
      <c r="B111" s="632"/>
      <c r="C111" s="719"/>
      <c r="D111" s="632"/>
      <c r="E111" s="3750" t="s">
        <v>199</v>
      </c>
      <c r="F111" s="3751"/>
      <c r="G111" s="3751"/>
      <c r="H111" s="3751"/>
      <c r="I111" s="3751"/>
      <c r="J111" s="3751"/>
      <c r="K111" s="3751"/>
      <c r="L111" s="3751"/>
      <c r="M111" s="3751"/>
      <c r="N111" s="3751"/>
      <c r="O111" s="3751"/>
      <c r="P111" s="3752"/>
      <c r="Q111" s="645">
        <f>+P112</f>
        <v>2000000</v>
      </c>
      <c r="R111" s="645">
        <v>2000000</v>
      </c>
      <c r="S111" s="646">
        <f>Q111-R111</f>
        <v>0</v>
      </c>
      <c r="T111" s="647">
        <f>S111/R111</f>
        <v>0</v>
      </c>
      <c r="AA111" s="2090"/>
    </row>
    <row r="112" spans="1:27" ht="15" customHeight="1">
      <c r="A112" s="617"/>
      <c r="B112" s="632"/>
      <c r="C112" s="719"/>
      <c r="D112" s="632"/>
      <c r="F112" s="1413" t="s">
        <v>1153</v>
      </c>
      <c r="G112" s="650"/>
      <c r="H112" s="649"/>
      <c r="I112" s="649"/>
      <c r="J112" s="649"/>
      <c r="K112" s="649" t="s">
        <v>2981</v>
      </c>
      <c r="L112" s="1414"/>
      <c r="M112" s="649"/>
      <c r="N112" s="651"/>
      <c r="O112" s="651"/>
      <c r="P112" s="652">
        <f>SUM(P113:P115)</f>
        <v>2000000</v>
      </c>
      <c r="Q112" s="2517">
        <f>P112</f>
        <v>2000000</v>
      </c>
      <c r="R112" s="653">
        <v>2000000</v>
      </c>
      <c r="S112" s="654">
        <f t="shared" ref="S112" si="33">Q112-R112</f>
        <v>0</v>
      </c>
      <c r="T112" s="2518">
        <f t="shared" ref="T112" si="34">S112/R112</f>
        <v>0</v>
      </c>
    </row>
    <row r="113" spans="1:27" ht="15" customHeight="1">
      <c r="A113" s="617"/>
      <c r="B113" s="632"/>
      <c r="C113" s="719"/>
      <c r="D113" s="632"/>
      <c r="E113" s="3358"/>
      <c r="F113" s="2231" t="s">
        <v>2939</v>
      </c>
      <c r="G113" s="1552">
        <v>150000</v>
      </c>
      <c r="H113" s="1168" t="s">
        <v>21</v>
      </c>
      <c r="I113" s="2361">
        <v>10</v>
      </c>
      <c r="J113" s="1168"/>
      <c r="K113" s="1571"/>
      <c r="L113" s="1554"/>
      <c r="M113" s="1168"/>
      <c r="N113" s="692"/>
      <c r="O113" s="669" t="s">
        <v>2940</v>
      </c>
      <c r="P113" s="2193">
        <f t="shared" ref="P113:P115" si="35">ROUNDUP(G113*I113,-3)</f>
        <v>1500000</v>
      </c>
      <c r="Q113" s="694"/>
      <c r="R113" s="694"/>
      <c r="S113" s="695"/>
      <c r="T113" s="696"/>
      <c r="AA113" s="2090"/>
    </row>
    <row r="114" spans="1:27" ht="15" customHeight="1">
      <c r="A114" s="759"/>
      <c r="B114" s="703"/>
      <c r="C114" s="619"/>
      <c r="D114" s="703"/>
      <c r="E114" s="3365"/>
      <c r="F114" s="2255" t="s">
        <v>2941</v>
      </c>
      <c r="G114" s="1556">
        <v>10000</v>
      </c>
      <c r="H114" s="1136" t="s">
        <v>21</v>
      </c>
      <c r="I114" s="2417">
        <v>13</v>
      </c>
      <c r="J114" s="1136"/>
      <c r="K114" s="1536"/>
      <c r="L114" s="1559"/>
      <c r="M114" s="1136"/>
      <c r="N114" s="1537"/>
      <c r="O114" s="2528" t="s">
        <v>2942</v>
      </c>
      <c r="P114" s="3019">
        <f t="shared" si="35"/>
        <v>130000</v>
      </c>
      <c r="Q114" s="712"/>
      <c r="R114" s="712"/>
      <c r="S114" s="713"/>
      <c r="T114" s="714"/>
      <c r="AA114" s="2090"/>
    </row>
    <row r="115" spans="1:27" ht="15" customHeight="1">
      <c r="A115" s="617"/>
      <c r="B115" s="632"/>
      <c r="C115" s="719"/>
      <c r="D115" s="632"/>
      <c r="E115" s="3358"/>
      <c r="F115" s="2231" t="s">
        <v>2943</v>
      </c>
      <c r="G115" s="1552">
        <v>370000</v>
      </c>
      <c r="H115" s="1168" t="s">
        <v>21</v>
      </c>
      <c r="I115" s="2291">
        <v>1</v>
      </c>
      <c r="J115" s="1168"/>
      <c r="K115" s="1571"/>
      <c r="L115" s="1554"/>
      <c r="M115" s="1168"/>
      <c r="N115" s="692"/>
      <c r="O115" s="669" t="s">
        <v>2944</v>
      </c>
      <c r="P115" s="2193">
        <f t="shared" si="35"/>
        <v>370000</v>
      </c>
      <c r="Q115" s="694"/>
      <c r="R115" s="694"/>
      <c r="S115" s="695"/>
      <c r="T115" s="696"/>
      <c r="AA115" s="2090"/>
    </row>
    <row r="116" spans="1:27" ht="15" customHeight="1">
      <c r="A116" s="617"/>
      <c r="B116" s="632"/>
      <c r="C116" s="719"/>
      <c r="D116" s="684" t="s">
        <v>200</v>
      </c>
      <c r="E116" s="2229"/>
      <c r="F116" s="1269"/>
      <c r="G116" s="636"/>
      <c r="H116" s="635"/>
      <c r="I116" s="635"/>
      <c r="J116" s="635"/>
      <c r="K116" s="635"/>
      <c r="L116" s="1268"/>
      <c r="M116" s="635"/>
      <c r="N116" s="637"/>
      <c r="O116" s="637"/>
      <c r="P116" s="635"/>
      <c r="Q116" s="638">
        <f>Q117</f>
        <v>2100000</v>
      </c>
      <c r="R116" s="638">
        <f>R117</f>
        <v>3000000</v>
      </c>
      <c r="S116" s="793">
        <f>Q116-R116</f>
        <v>-900000</v>
      </c>
      <c r="T116" s="873">
        <f t="shared" ref="T116:T118" si="36">S116/R116</f>
        <v>-0.3</v>
      </c>
    </row>
    <row r="117" spans="1:27" ht="15" customHeight="1">
      <c r="A117" s="617"/>
      <c r="B117" s="632"/>
      <c r="C117" s="719"/>
      <c r="D117" s="632"/>
      <c r="E117" s="3750" t="s">
        <v>3044</v>
      </c>
      <c r="F117" s="3751"/>
      <c r="G117" s="3751"/>
      <c r="H117" s="3751"/>
      <c r="I117" s="3751"/>
      <c r="J117" s="3751"/>
      <c r="K117" s="3751"/>
      <c r="L117" s="3751"/>
      <c r="M117" s="3751"/>
      <c r="N117" s="3751"/>
      <c r="O117" s="3751"/>
      <c r="P117" s="3752"/>
      <c r="Q117" s="645">
        <f>+P118</f>
        <v>2100000</v>
      </c>
      <c r="R117" s="645">
        <v>3000000</v>
      </c>
      <c r="S117" s="646">
        <f>Q117-R117</f>
        <v>-900000</v>
      </c>
      <c r="T117" s="647">
        <f t="shared" si="36"/>
        <v>-0.3</v>
      </c>
    </row>
    <row r="118" spans="1:27" ht="15" customHeight="1">
      <c r="A118" s="617"/>
      <c r="B118" s="632"/>
      <c r="C118" s="719"/>
      <c r="D118" s="632"/>
      <c r="F118" s="1413" t="s">
        <v>320</v>
      </c>
      <c r="G118" s="650"/>
      <c r="H118" s="649"/>
      <c r="I118" s="649"/>
      <c r="J118" s="649"/>
      <c r="K118" s="649"/>
      <c r="L118" s="1414"/>
      <c r="M118" s="649"/>
      <c r="N118" s="651"/>
      <c r="O118" s="651"/>
      <c r="P118" s="652">
        <f>SUM(P119:P120)</f>
        <v>2100000</v>
      </c>
      <c r="Q118" s="653">
        <f>P118</f>
        <v>2100000</v>
      </c>
      <c r="R118" s="653">
        <v>3000000</v>
      </c>
      <c r="S118" s="654">
        <f t="shared" ref="S118" si="37">Q118-R118</f>
        <v>-900000</v>
      </c>
      <c r="T118" s="2518">
        <f t="shared" si="36"/>
        <v>-0.3</v>
      </c>
    </row>
    <row r="119" spans="1:27" ht="15" customHeight="1">
      <c r="A119" s="617"/>
      <c r="B119" s="632"/>
      <c r="C119" s="719"/>
      <c r="D119" s="632"/>
      <c r="F119" s="1415" t="s">
        <v>2916</v>
      </c>
      <c r="G119" s="2105">
        <v>900000</v>
      </c>
      <c r="H119" s="659" t="s">
        <v>21</v>
      </c>
      <c r="I119" s="2396">
        <v>1</v>
      </c>
      <c r="J119" s="659"/>
      <c r="K119" s="659"/>
      <c r="L119" s="2397"/>
      <c r="M119" s="659"/>
      <c r="N119" s="664"/>
      <c r="O119" s="664" t="s">
        <v>22</v>
      </c>
      <c r="P119" s="665">
        <f>ROUNDUP(G119*I119,-3)</f>
        <v>900000</v>
      </c>
      <c r="Q119" s="666"/>
      <c r="R119" s="694"/>
      <c r="S119" s="695"/>
      <c r="T119" s="696"/>
    </row>
    <row r="120" spans="1:27" ht="15" customHeight="1">
      <c r="A120" s="617"/>
      <c r="B120" s="632"/>
      <c r="C120" s="719"/>
      <c r="D120" s="632"/>
      <c r="F120" s="1415" t="s">
        <v>2917</v>
      </c>
      <c r="G120" s="2105">
        <v>60000</v>
      </c>
      <c r="H120" s="659" t="s">
        <v>21</v>
      </c>
      <c r="I120" s="2396">
        <v>20</v>
      </c>
      <c r="J120" s="659"/>
      <c r="K120" s="659"/>
      <c r="L120" s="2397"/>
      <c r="M120" s="659"/>
      <c r="N120" s="664"/>
      <c r="O120" s="664" t="s">
        <v>22</v>
      </c>
      <c r="P120" s="665">
        <f>ROUNDUP(G120*I120,-3)</f>
        <v>1200000</v>
      </c>
      <c r="Q120" s="694"/>
      <c r="R120" s="694"/>
      <c r="S120" s="695"/>
      <c r="T120" s="696"/>
    </row>
    <row r="121" spans="1:27" ht="15" customHeight="1">
      <c r="A121" s="617"/>
      <c r="B121" s="632"/>
      <c r="C121" s="3634" t="s">
        <v>203</v>
      </c>
      <c r="D121" s="3635"/>
      <c r="E121" s="3635"/>
      <c r="F121" s="3635"/>
      <c r="G121" s="3635"/>
      <c r="H121" s="3635"/>
      <c r="I121" s="3635"/>
      <c r="J121" s="3635"/>
      <c r="K121" s="3635"/>
      <c r="L121" s="3635"/>
      <c r="M121" s="3635"/>
      <c r="N121" s="3635"/>
      <c r="O121" s="3635"/>
      <c r="P121" s="3636"/>
      <c r="Q121" s="631">
        <f>Q122+Q133</f>
        <v>69004000</v>
      </c>
      <c r="R121" s="631">
        <f>SUM(R122,R133)</f>
        <v>94000000</v>
      </c>
      <c r="S121" s="764">
        <f>Q121-R121</f>
        <v>-24996000</v>
      </c>
      <c r="T121" s="765">
        <f t="shared" ref="T121:T123" si="38">S121/R121</f>
        <v>-0.26591489361702125</v>
      </c>
    </row>
    <row r="122" spans="1:27" s="2390" customFormat="1" ht="15" customHeight="1">
      <c r="A122" s="2389"/>
      <c r="B122" s="2385"/>
      <c r="C122" s="2386"/>
      <c r="D122" s="532" t="s">
        <v>120</v>
      </c>
      <c r="E122" s="3275"/>
      <c r="F122" s="533"/>
      <c r="G122" s="534"/>
      <c r="H122" s="533"/>
      <c r="I122" s="533"/>
      <c r="J122" s="533"/>
      <c r="K122" s="533"/>
      <c r="L122" s="1737"/>
      <c r="M122" s="533"/>
      <c r="N122" s="535"/>
      <c r="O122" s="535"/>
      <c r="P122" s="533"/>
      <c r="Q122" s="536">
        <f>Q123+Q132</f>
        <v>0</v>
      </c>
      <c r="R122" s="638">
        <f>SUM(R123,R132)</f>
        <v>29000000</v>
      </c>
      <c r="S122" s="793">
        <f>Q122-R122</f>
        <v>-29000000</v>
      </c>
      <c r="T122" s="538">
        <f t="shared" si="38"/>
        <v>-1</v>
      </c>
    </row>
    <row r="123" spans="1:27" s="2390" customFormat="1" ht="15" customHeight="1">
      <c r="A123" s="2389"/>
      <c r="B123" s="2385"/>
      <c r="C123" s="2386"/>
      <c r="D123" s="2388"/>
      <c r="E123" s="3750" t="s">
        <v>3045</v>
      </c>
      <c r="F123" s="3751"/>
      <c r="G123" s="3751"/>
      <c r="H123" s="3751"/>
      <c r="I123" s="3751"/>
      <c r="J123" s="3751"/>
      <c r="K123" s="3751"/>
      <c r="L123" s="3751"/>
      <c r="M123" s="3751"/>
      <c r="N123" s="3751"/>
      <c r="O123" s="3751"/>
      <c r="P123" s="3752"/>
      <c r="Q123" s="2391">
        <f>P124+P126+P128+P130</f>
        <v>0</v>
      </c>
      <c r="R123" s="2391">
        <v>29000000</v>
      </c>
      <c r="S123" s="2531">
        <f>Q123-R123</f>
        <v>-29000000</v>
      </c>
      <c r="T123" s="2532">
        <f t="shared" si="38"/>
        <v>-1</v>
      </c>
    </row>
    <row r="124" spans="1:27" s="2390" customFormat="1" ht="15" hidden="1" customHeight="1">
      <c r="A124" s="2389"/>
      <c r="B124" s="2385"/>
      <c r="C124" s="2386"/>
      <c r="D124" s="2385"/>
      <c r="E124" s="3378"/>
      <c r="F124" s="747"/>
      <c r="G124" s="572"/>
      <c r="H124" s="748"/>
      <c r="I124" s="749"/>
      <c r="J124" s="573"/>
      <c r="K124" s="573"/>
      <c r="L124" s="2533"/>
      <c r="M124" s="573"/>
      <c r="N124" s="751"/>
      <c r="O124" s="751"/>
      <c r="P124" s="2534"/>
      <c r="Q124" s="2535"/>
      <c r="R124" s="2535"/>
      <c r="S124" s="2536"/>
      <c r="T124" s="2537"/>
    </row>
    <row r="125" spans="1:27" s="2390" customFormat="1" ht="15" hidden="1" customHeight="1">
      <c r="A125" s="2389"/>
      <c r="B125" s="2385"/>
      <c r="C125" s="2386"/>
      <c r="D125" s="2385"/>
      <c r="E125" s="3378"/>
      <c r="F125" s="754"/>
      <c r="G125" s="572"/>
      <c r="H125" s="748"/>
      <c r="I125" s="749"/>
      <c r="J125" s="573"/>
      <c r="K125" s="573"/>
      <c r="L125" s="2533"/>
      <c r="M125" s="573"/>
      <c r="N125" s="751"/>
      <c r="O125" s="751"/>
      <c r="P125" s="2538"/>
      <c r="Q125" s="2535"/>
      <c r="R125" s="2535"/>
      <c r="S125" s="2536"/>
      <c r="T125" s="2537"/>
    </row>
    <row r="126" spans="1:27" s="2390" customFormat="1" ht="15" hidden="1" customHeight="1">
      <c r="A126" s="2389"/>
      <c r="B126" s="2385"/>
      <c r="C126" s="2386"/>
      <c r="D126" s="2385"/>
      <c r="E126" s="3378"/>
      <c r="F126" s="747"/>
      <c r="G126" s="572"/>
      <c r="H126" s="748"/>
      <c r="I126" s="749"/>
      <c r="J126" s="573"/>
      <c r="K126" s="573"/>
      <c r="L126" s="2533"/>
      <c r="M126" s="573"/>
      <c r="N126" s="751"/>
      <c r="O126" s="751"/>
      <c r="P126" s="2534"/>
      <c r="Q126" s="2535"/>
      <c r="R126" s="2535"/>
      <c r="S126" s="2536"/>
      <c r="T126" s="2537"/>
    </row>
    <row r="127" spans="1:27" s="2390" customFormat="1" ht="15" hidden="1" customHeight="1">
      <c r="A127" s="2389"/>
      <c r="B127" s="2385"/>
      <c r="C127" s="2386"/>
      <c r="D127" s="2385"/>
      <c r="E127" s="3378"/>
      <c r="F127" s="754"/>
      <c r="G127" s="572"/>
      <c r="H127" s="748"/>
      <c r="I127" s="749"/>
      <c r="J127" s="573"/>
      <c r="K127" s="573"/>
      <c r="L127" s="2533"/>
      <c r="M127" s="573"/>
      <c r="N127" s="751"/>
      <c r="O127" s="751"/>
      <c r="P127" s="2538"/>
      <c r="Q127" s="2535"/>
      <c r="R127" s="2535"/>
      <c r="S127" s="2536"/>
      <c r="T127" s="2537"/>
    </row>
    <row r="128" spans="1:27" s="2390" customFormat="1" ht="15" hidden="1" customHeight="1">
      <c r="A128" s="2389"/>
      <c r="B128" s="2385"/>
      <c r="C128" s="2386"/>
      <c r="D128" s="2385"/>
      <c r="E128" s="3378"/>
      <c r="F128" s="747"/>
      <c r="G128" s="572"/>
      <c r="H128" s="748"/>
      <c r="I128" s="749"/>
      <c r="J128" s="573"/>
      <c r="K128" s="573"/>
      <c r="L128" s="2533"/>
      <c r="M128" s="573"/>
      <c r="N128" s="751"/>
      <c r="O128" s="751"/>
      <c r="P128" s="2534"/>
      <c r="Q128" s="2535"/>
      <c r="R128" s="2535"/>
      <c r="S128" s="2536"/>
      <c r="T128" s="2537"/>
    </row>
    <row r="129" spans="1:20" s="2390" customFormat="1" ht="15" hidden="1" customHeight="1">
      <c r="A129" s="2389"/>
      <c r="B129" s="2385"/>
      <c r="C129" s="2386"/>
      <c r="D129" s="2385"/>
      <c r="E129" s="3378"/>
      <c r="F129" s="754"/>
      <c r="G129" s="572"/>
      <c r="H129" s="748"/>
      <c r="I129" s="749"/>
      <c r="J129" s="573"/>
      <c r="K129" s="573"/>
      <c r="L129" s="2533"/>
      <c r="M129" s="573"/>
      <c r="N129" s="751"/>
      <c r="O129" s="751"/>
      <c r="P129" s="2538"/>
      <c r="Q129" s="2535"/>
      <c r="R129" s="2535"/>
      <c r="S129" s="2536"/>
      <c r="T129" s="2537"/>
    </row>
    <row r="130" spans="1:20" s="2390" customFormat="1" ht="15" hidden="1" customHeight="1">
      <c r="A130" s="2389"/>
      <c r="B130" s="2385"/>
      <c r="C130" s="2386"/>
      <c r="D130" s="2385"/>
      <c r="E130" s="3378"/>
      <c r="F130" s="747"/>
      <c r="G130" s="572"/>
      <c r="H130" s="748"/>
      <c r="I130" s="749"/>
      <c r="J130" s="573"/>
      <c r="K130" s="573"/>
      <c r="L130" s="2533"/>
      <c r="M130" s="573"/>
      <c r="N130" s="751"/>
      <c r="O130" s="751"/>
      <c r="P130" s="2534"/>
      <c r="Q130" s="2535"/>
      <c r="R130" s="2535"/>
      <c r="S130" s="2536"/>
      <c r="T130" s="2537"/>
    </row>
    <row r="131" spans="1:20" s="2390" customFormat="1" ht="15" hidden="1" customHeight="1">
      <c r="A131" s="2389"/>
      <c r="B131" s="2385"/>
      <c r="C131" s="2386"/>
      <c r="D131" s="2385"/>
      <c r="E131" s="3378"/>
      <c r="F131" s="754"/>
      <c r="G131" s="572"/>
      <c r="H131" s="748"/>
      <c r="I131" s="749"/>
      <c r="J131" s="573"/>
      <c r="K131" s="573"/>
      <c r="L131" s="2533"/>
      <c r="M131" s="573"/>
      <c r="N131" s="751"/>
      <c r="O131" s="751"/>
      <c r="P131" s="2538"/>
      <c r="Q131" s="2535"/>
      <c r="R131" s="2535"/>
      <c r="S131" s="2536"/>
      <c r="T131" s="2537"/>
    </row>
    <row r="132" spans="1:20" ht="15" customHeight="1">
      <c r="A132" s="617"/>
      <c r="B132" s="632"/>
      <c r="C132" s="719"/>
      <c r="D132" s="632"/>
      <c r="E132" s="3750" t="s">
        <v>3046</v>
      </c>
      <c r="F132" s="3751"/>
      <c r="G132" s="3751"/>
      <c r="H132" s="3751"/>
      <c r="I132" s="3751"/>
      <c r="J132" s="3751"/>
      <c r="K132" s="3751"/>
      <c r="L132" s="3751"/>
      <c r="M132" s="3751"/>
      <c r="N132" s="3751"/>
      <c r="O132" s="3751"/>
      <c r="P132" s="3752"/>
      <c r="Q132" s="2391">
        <v>0</v>
      </c>
      <c r="R132" s="645">
        <v>0</v>
      </c>
      <c r="S132" s="646">
        <f>Q132-R132</f>
        <v>0</v>
      </c>
      <c r="T132" s="2532">
        <v>0</v>
      </c>
    </row>
    <row r="133" spans="1:20" ht="15" customHeight="1">
      <c r="A133" s="617"/>
      <c r="B133" s="632"/>
      <c r="C133" s="719"/>
      <c r="D133" s="684" t="s">
        <v>204</v>
      </c>
      <c r="E133" s="2229"/>
      <c r="F133" s="1269"/>
      <c r="G133" s="636"/>
      <c r="H133" s="635"/>
      <c r="I133" s="635"/>
      <c r="J133" s="635"/>
      <c r="K133" s="635"/>
      <c r="L133" s="1268"/>
      <c r="M133" s="635"/>
      <c r="N133" s="637"/>
      <c r="O133" s="637"/>
      <c r="P133" s="635"/>
      <c r="Q133" s="638">
        <f>SUM(Q134,Q190,Q197)</f>
        <v>69004000</v>
      </c>
      <c r="R133" s="638">
        <f>R134+R190+R197</f>
        <v>65000000</v>
      </c>
      <c r="S133" s="793">
        <f>Q133-R133</f>
        <v>4004000</v>
      </c>
      <c r="T133" s="873">
        <f t="shared" ref="T133:T135" si="39">S133/R133</f>
        <v>6.1600000000000002E-2</v>
      </c>
    </row>
    <row r="134" spans="1:20" ht="15" customHeight="1">
      <c r="A134" s="617"/>
      <c r="B134" s="632"/>
      <c r="C134" s="719"/>
      <c r="D134" s="626"/>
      <c r="E134" s="3750" t="s">
        <v>3047</v>
      </c>
      <c r="F134" s="3751"/>
      <c r="G134" s="3751"/>
      <c r="H134" s="3751"/>
      <c r="I134" s="3751"/>
      <c r="J134" s="3751"/>
      <c r="K134" s="3751"/>
      <c r="L134" s="3751"/>
      <c r="M134" s="3751"/>
      <c r="N134" s="3751"/>
      <c r="O134" s="3751"/>
      <c r="P134" s="3752"/>
      <c r="Q134" s="645">
        <f>P135+P141+P144+P148+P154+P157+P161+P164+P168+P171+P174+P177+P180+P183</f>
        <v>56364000</v>
      </c>
      <c r="R134" s="645">
        <f>SUM(R135:R189)</f>
        <v>57000000</v>
      </c>
      <c r="S134" s="646">
        <f>Q134-R134</f>
        <v>-636000</v>
      </c>
      <c r="T134" s="647">
        <f t="shared" si="39"/>
        <v>-1.1157894736842104E-2</v>
      </c>
    </row>
    <row r="135" spans="1:20" ht="15" customHeight="1">
      <c r="A135" s="617"/>
      <c r="B135" s="632"/>
      <c r="C135" s="719"/>
      <c r="D135" s="632"/>
      <c r="F135" s="1507" t="s">
        <v>1170</v>
      </c>
      <c r="G135" s="679"/>
      <c r="H135" s="679"/>
      <c r="I135" s="679"/>
      <c r="J135" s="679"/>
      <c r="K135" s="679"/>
      <c r="L135" s="679"/>
      <c r="M135" s="679"/>
      <c r="N135" s="679"/>
      <c r="O135" s="679"/>
      <c r="P135" s="956">
        <f>SUM(P136:P140)</f>
        <v>3500000</v>
      </c>
      <c r="Q135" s="2517">
        <f>P135</f>
        <v>3500000</v>
      </c>
      <c r="R135" s="2517">
        <v>3000000</v>
      </c>
      <c r="S135" s="654">
        <f t="shared" ref="S135" si="40">Q135-R135</f>
        <v>500000</v>
      </c>
      <c r="T135" s="2518">
        <f t="shared" si="39"/>
        <v>0.16666666666666666</v>
      </c>
    </row>
    <row r="136" spans="1:20" ht="15" customHeight="1">
      <c r="A136" s="617"/>
      <c r="B136" s="632"/>
      <c r="C136" s="719"/>
      <c r="D136" s="632"/>
      <c r="F136" s="1511" t="s">
        <v>1171</v>
      </c>
      <c r="G136" s="702">
        <v>150000</v>
      </c>
      <c r="H136" s="691" t="s">
        <v>21</v>
      </c>
      <c r="I136" s="1571">
        <v>11</v>
      </c>
      <c r="J136" s="691"/>
      <c r="K136" s="691"/>
      <c r="L136" s="1512"/>
      <c r="M136" s="691"/>
      <c r="N136" s="701"/>
      <c r="O136" s="701" t="s">
        <v>1172</v>
      </c>
      <c r="P136" s="693">
        <f>ROUNDUP(G136*I136,-3)</f>
        <v>1650000</v>
      </c>
      <c r="Q136" s="694"/>
      <c r="R136" s="2457"/>
      <c r="S136" s="2321"/>
      <c r="T136" s="696"/>
    </row>
    <row r="137" spans="1:20" ht="15" customHeight="1">
      <c r="A137" s="617"/>
      <c r="B137" s="632"/>
      <c r="C137" s="719"/>
      <c r="D137" s="632"/>
      <c r="F137" s="1511" t="s">
        <v>1173</v>
      </c>
      <c r="G137" s="702">
        <v>350000</v>
      </c>
      <c r="H137" s="691" t="s">
        <v>21</v>
      </c>
      <c r="I137" s="1553">
        <v>2</v>
      </c>
      <c r="J137" s="691"/>
      <c r="K137" s="691"/>
      <c r="L137" s="1512"/>
      <c r="M137" s="691"/>
      <c r="N137" s="701"/>
      <c r="O137" s="2539" t="s">
        <v>1174</v>
      </c>
      <c r="P137" s="693">
        <f t="shared" ref="P137:P140" si="41">ROUNDUP(G137*I137,-3)</f>
        <v>700000</v>
      </c>
      <c r="Q137" s="694"/>
      <c r="R137" s="2457"/>
      <c r="S137" s="2321"/>
      <c r="T137" s="696"/>
    </row>
    <row r="138" spans="1:20" ht="15" customHeight="1">
      <c r="A138" s="617"/>
      <c r="B138" s="632"/>
      <c r="C138" s="719"/>
      <c r="D138" s="632"/>
      <c r="F138" s="1511" t="s">
        <v>1175</v>
      </c>
      <c r="G138" s="702">
        <v>200000</v>
      </c>
      <c r="H138" s="691" t="s">
        <v>21</v>
      </c>
      <c r="I138" s="1553">
        <v>1</v>
      </c>
      <c r="J138" s="691"/>
      <c r="K138" s="691"/>
      <c r="L138" s="1512"/>
      <c r="M138" s="691"/>
      <c r="N138" s="701"/>
      <c r="O138" s="701" t="s">
        <v>1172</v>
      </c>
      <c r="P138" s="693">
        <f t="shared" si="41"/>
        <v>200000</v>
      </c>
      <c r="Q138" s="694"/>
      <c r="R138" s="2457"/>
      <c r="S138" s="2321"/>
      <c r="T138" s="696"/>
    </row>
    <row r="139" spans="1:20" ht="15" customHeight="1">
      <c r="A139" s="617"/>
      <c r="B139" s="632"/>
      <c r="C139" s="719"/>
      <c r="D139" s="632"/>
      <c r="F139" s="1511" t="s">
        <v>1154</v>
      </c>
      <c r="G139" s="702">
        <v>200000</v>
      </c>
      <c r="H139" s="691" t="s">
        <v>21</v>
      </c>
      <c r="I139" s="1553">
        <v>2</v>
      </c>
      <c r="J139" s="691"/>
      <c r="K139" s="691"/>
      <c r="L139" s="1512"/>
      <c r="M139" s="691"/>
      <c r="N139" s="701"/>
      <c r="O139" s="701" t="s">
        <v>1176</v>
      </c>
      <c r="P139" s="693">
        <f t="shared" si="41"/>
        <v>400000</v>
      </c>
      <c r="Q139" s="694"/>
      <c r="R139" s="2457"/>
      <c r="S139" s="2321"/>
      <c r="T139" s="696"/>
    </row>
    <row r="140" spans="1:20" ht="15" customHeight="1">
      <c r="A140" s="617"/>
      <c r="B140" s="632"/>
      <c r="C140" s="719"/>
      <c r="D140" s="632"/>
      <c r="F140" s="1511" t="s">
        <v>1177</v>
      </c>
      <c r="G140" s="702">
        <v>550000</v>
      </c>
      <c r="H140" s="691" t="s">
        <v>21</v>
      </c>
      <c r="I140" s="1553">
        <v>1</v>
      </c>
      <c r="J140" s="691"/>
      <c r="K140" s="691"/>
      <c r="L140" s="1512"/>
      <c r="M140" s="691"/>
      <c r="N140" s="701"/>
      <c r="O140" s="701" t="s">
        <v>1176</v>
      </c>
      <c r="P140" s="693">
        <f t="shared" si="41"/>
        <v>550000</v>
      </c>
      <c r="Q140" s="694"/>
      <c r="R140" s="2457"/>
      <c r="S140" s="2321"/>
      <c r="T140" s="696"/>
    </row>
    <row r="141" spans="1:20" ht="15" customHeight="1">
      <c r="A141" s="617"/>
      <c r="B141" s="632"/>
      <c r="C141" s="719"/>
      <c r="D141" s="632"/>
      <c r="F141" s="1507" t="s">
        <v>1155</v>
      </c>
      <c r="G141" s="679"/>
      <c r="H141" s="679"/>
      <c r="I141" s="679"/>
      <c r="J141" s="679"/>
      <c r="K141" s="679"/>
      <c r="L141" s="679"/>
      <c r="M141" s="679"/>
      <c r="N141" s="679"/>
      <c r="O141" s="687"/>
      <c r="P141" s="681">
        <f>SUM(P142:P143)</f>
        <v>7500000</v>
      </c>
      <c r="Q141" s="2517">
        <f>P141</f>
        <v>7500000</v>
      </c>
      <c r="R141" s="2517">
        <v>6000000</v>
      </c>
      <c r="S141" s="654">
        <f t="shared" ref="S141" si="42">Q141-R141</f>
        <v>1500000</v>
      </c>
      <c r="T141" s="2518">
        <f t="shared" ref="T141" si="43">S141/R141</f>
        <v>0.25</v>
      </c>
    </row>
    <row r="142" spans="1:20" ht="15" customHeight="1">
      <c r="A142" s="617"/>
      <c r="B142" s="632"/>
      <c r="C142" s="719"/>
      <c r="D142" s="632"/>
      <c r="F142" s="1511" t="s">
        <v>1156</v>
      </c>
      <c r="G142" s="702">
        <v>800000</v>
      </c>
      <c r="H142" s="691" t="s">
        <v>21</v>
      </c>
      <c r="I142" s="2540">
        <v>6</v>
      </c>
      <c r="J142" s="691"/>
      <c r="K142" s="691"/>
      <c r="L142" s="1512"/>
      <c r="M142" s="691"/>
      <c r="N142" s="701"/>
      <c r="O142" s="701" t="s">
        <v>1172</v>
      </c>
      <c r="P142" s="693">
        <f>ROUNDUP(G142*I142,-3)</f>
        <v>4800000</v>
      </c>
      <c r="Q142" s="694"/>
      <c r="R142" s="2457"/>
      <c r="S142" s="2321"/>
      <c r="T142" s="696"/>
    </row>
    <row r="143" spans="1:20" ht="15" customHeight="1">
      <c r="A143" s="617"/>
      <c r="B143" s="632"/>
      <c r="C143" s="719"/>
      <c r="D143" s="632"/>
      <c r="F143" s="1511" t="s">
        <v>1178</v>
      </c>
      <c r="G143" s="1552">
        <v>540000</v>
      </c>
      <c r="H143" s="1168" t="s">
        <v>21</v>
      </c>
      <c r="I143" s="1553">
        <v>5</v>
      </c>
      <c r="J143" s="691"/>
      <c r="K143" s="691"/>
      <c r="L143" s="1512"/>
      <c r="M143" s="691"/>
      <c r="N143" s="701"/>
      <c r="O143" s="701" t="s">
        <v>1037</v>
      </c>
      <c r="P143" s="693">
        <f>ROUNDUP(G143*I143,-3)</f>
        <v>2700000</v>
      </c>
      <c r="Q143" s="694"/>
      <c r="R143" s="2457"/>
      <c r="S143" s="2321"/>
      <c r="T143" s="696"/>
    </row>
    <row r="144" spans="1:20" ht="15" customHeight="1">
      <c r="A144" s="617"/>
      <c r="B144" s="632"/>
      <c r="C144" s="719"/>
      <c r="D144" s="632"/>
      <c r="F144" s="1507" t="s">
        <v>1179</v>
      </c>
      <c r="G144" s="679"/>
      <c r="H144" s="679"/>
      <c r="I144" s="679"/>
      <c r="J144" s="679"/>
      <c r="K144" s="679"/>
      <c r="L144" s="679"/>
      <c r="M144" s="679"/>
      <c r="N144" s="679"/>
      <c r="O144" s="679"/>
      <c r="P144" s="681">
        <f>SUM(P145:P147)</f>
        <v>5000000</v>
      </c>
      <c r="Q144" s="2517">
        <f>P144</f>
        <v>5000000</v>
      </c>
      <c r="R144" s="2517">
        <v>5500000</v>
      </c>
      <c r="S144" s="654">
        <f t="shared" ref="S144" si="44">Q144-R144</f>
        <v>-500000</v>
      </c>
      <c r="T144" s="2518">
        <f t="shared" ref="T144" si="45">S144/R144</f>
        <v>-9.0909090909090912E-2</v>
      </c>
    </row>
    <row r="145" spans="1:20" ht="15" customHeight="1">
      <c r="A145" s="617"/>
      <c r="B145" s="632"/>
      <c r="C145" s="719"/>
      <c r="D145" s="632"/>
      <c r="F145" s="1511" t="s">
        <v>1158</v>
      </c>
      <c r="G145" s="702">
        <v>100000</v>
      </c>
      <c r="H145" s="691" t="s">
        <v>21</v>
      </c>
      <c r="I145" s="1553">
        <v>10</v>
      </c>
      <c r="J145" s="691"/>
      <c r="K145" s="691"/>
      <c r="L145" s="1512"/>
      <c r="M145" s="691"/>
      <c r="N145" s="701"/>
      <c r="O145" s="701" t="s">
        <v>1037</v>
      </c>
      <c r="P145" s="693">
        <f>ROUNDUP(G145*I145,-3)</f>
        <v>1000000</v>
      </c>
      <c r="Q145" s="694"/>
      <c r="R145" s="2457"/>
      <c r="S145" s="2321"/>
      <c r="T145" s="696"/>
    </row>
    <row r="146" spans="1:20" ht="15" customHeight="1">
      <c r="A146" s="617"/>
      <c r="B146" s="632"/>
      <c r="C146" s="719"/>
      <c r="D146" s="632"/>
      <c r="F146" s="1511" t="s">
        <v>2355</v>
      </c>
      <c r="G146" s="702">
        <v>500000</v>
      </c>
      <c r="H146" s="691" t="s">
        <v>21</v>
      </c>
      <c r="I146" s="1553">
        <v>7</v>
      </c>
      <c r="J146" s="691"/>
      <c r="K146" s="691"/>
      <c r="L146" s="1512"/>
      <c r="M146" s="691"/>
      <c r="N146" s="701"/>
      <c r="O146" s="2539" t="s">
        <v>1174</v>
      </c>
      <c r="P146" s="693">
        <f t="shared" ref="P146:P147" si="46">ROUNDUP(G146*I146,-3)</f>
        <v>3500000</v>
      </c>
      <c r="Q146" s="694"/>
      <c r="R146" s="2457"/>
      <c r="S146" s="2321"/>
      <c r="T146" s="696"/>
    </row>
    <row r="147" spans="1:20" ht="15" customHeight="1">
      <c r="A147" s="617"/>
      <c r="B147" s="632"/>
      <c r="C147" s="719"/>
      <c r="D147" s="632"/>
      <c r="F147" s="1511" t="s">
        <v>1159</v>
      </c>
      <c r="G147" s="702">
        <v>500000</v>
      </c>
      <c r="H147" s="691" t="s">
        <v>21</v>
      </c>
      <c r="I147" s="1553">
        <v>1</v>
      </c>
      <c r="J147" s="691"/>
      <c r="K147" s="691"/>
      <c r="L147" s="1512"/>
      <c r="M147" s="691"/>
      <c r="N147" s="701"/>
      <c r="O147" s="701" t="s">
        <v>1180</v>
      </c>
      <c r="P147" s="693">
        <f t="shared" si="46"/>
        <v>500000</v>
      </c>
      <c r="Q147" s="694"/>
      <c r="R147" s="2457"/>
      <c r="S147" s="2321"/>
      <c r="T147" s="696"/>
    </row>
    <row r="148" spans="1:20" ht="15" customHeight="1">
      <c r="A148" s="617"/>
      <c r="B148" s="632"/>
      <c r="C148" s="719"/>
      <c r="D148" s="632"/>
      <c r="F148" s="1507" t="s">
        <v>1160</v>
      </c>
      <c r="G148" s="679"/>
      <c r="H148" s="679"/>
      <c r="I148" s="679"/>
      <c r="J148" s="679"/>
      <c r="K148" s="679"/>
      <c r="L148" s="679"/>
      <c r="M148" s="679"/>
      <c r="N148" s="679"/>
      <c r="O148" s="679"/>
      <c r="P148" s="681">
        <f>SUM(P149:P153)</f>
        <v>10000000</v>
      </c>
      <c r="Q148" s="2517">
        <f>P148</f>
        <v>10000000</v>
      </c>
      <c r="R148" s="2517">
        <v>10000000</v>
      </c>
      <c r="S148" s="654">
        <f t="shared" ref="S148" si="47">Q148-R148</f>
        <v>0</v>
      </c>
      <c r="T148" s="2518">
        <f t="shared" ref="T148" si="48">S148/R148</f>
        <v>0</v>
      </c>
    </row>
    <row r="149" spans="1:20" ht="15" customHeight="1">
      <c r="A149" s="617"/>
      <c r="B149" s="632"/>
      <c r="C149" s="719"/>
      <c r="D149" s="632"/>
      <c r="F149" s="1511" t="s">
        <v>2350</v>
      </c>
      <c r="G149" s="702">
        <v>370000</v>
      </c>
      <c r="H149" s="691" t="s">
        <v>21</v>
      </c>
      <c r="I149" s="2291">
        <v>8</v>
      </c>
      <c r="J149" s="691"/>
      <c r="K149" s="691"/>
      <c r="L149" s="1512"/>
      <c r="M149" s="691"/>
      <c r="N149" s="701"/>
      <c r="O149" s="701" t="s">
        <v>1037</v>
      </c>
      <c r="P149" s="693">
        <f>ROUNDUP(G149*I149,-3)</f>
        <v>2960000</v>
      </c>
      <c r="Q149" s="694"/>
      <c r="R149" s="2457"/>
      <c r="S149" s="2321"/>
      <c r="T149" s="696"/>
    </row>
    <row r="150" spans="1:20" ht="15" customHeight="1">
      <c r="A150" s="617"/>
      <c r="B150" s="632"/>
      <c r="C150" s="719"/>
      <c r="D150" s="632"/>
      <c r="F150" s="1511" t="s">
        <v>2351</v>
      </c>
      <c r="G150" s="702">
        <v>100000</v>
      </c>
      <c r="H150" s="691" t="s">
        <v>21</v>
      </c>
      <c r="I150" s="2291">
        <v>5</v>
      </c>
      <c r="J150" s="691"/>
      <c r="K150" s="691"/>
      <c r="L150" s="1512"/>
      <c r="M150" s="691"/>
      <c r="N150" s="701"/>
      <c r="O150" s="2539" t="s">
        <v>1037</v>
      </c>
      <c r="P150" s="693">
        <f>ROUNDUP(G150*I150,-3)</f>
        <v>500000</v>
      </c>
      <c r="Q150" s="694"/>
      <c r="R150" s="2457"/>
      <c r="S150" s="2321"/>
      <c r="T150" s="696"/>
    </row>
    <row r="151" spans="1:20" ht="15" customHeight="1">
      <c r="A151" s="617"/>
      <c r="B151" s="632"/>
      <c r="C151" s="719"/>
      <c r="D151" s="632"/>
      <c r="F151" s="1511" t="s">
        <v>2352</v>
      </c>
      <c r="G151" s="702">
        <v>1200000</v>
      </c>
      <c r="H151" s="691" t="s">
        <v>21</v>
      </c>
      <c r="I151" s="2291">
        <v>2</v>
      </c>
      <c r="J151" s="691"/>
      <c r="K151" s="691"/>
      <c r="L151" s="1512"/>
      <c r="M151" s="691"/>
      <c r="N151" s="701"/>
      <c r="O151" s="701" t="s">
        <v>1037</v>
      </c>
      <c r="P151" s="693">
        <f>ROUNDUP(G151*I151,-3)</f>
        <v>2400000</v>
      </c>
      <c r="Q151" s="694"/>
      <c r="R151" s="2457"/>
      <c r="S151" s="2321"/>
      <c r="T151" s="696"/>
    </row>
    <row r="152" spans="1:20" ht="15" customHeight="1">
      <c r="A152" s="617"/>
      <c r="B152" s="632"/>
      <c r="C152" s="719"/>
      <c r="D152" s="632"/>
      <c r="F152" s="1511" t="s">
        <v>2353</v>
      </c>
      <c r="G152" s="702">
        <v>3400000</v>
      </c>
      <c r="H152" s="691" t="s">
        <v>21</v>
      </c>
      <c r="I152" s="2291">
        <v>1</v>
      </c>
      <c r="J152" s="691"/>
      <c r="K152" s="691"/>
      <c r="L152" s="1512"/>
      <c r="M152" s="691"/>
      <c r="N152" s="701"/>
      <c r="O152" s="701" t="s">
        <v>1037</v>
      </c>
      <c r="P152" s="693">
        <f>ROUNDUP(G152*I152,-3)</f>
        <v>3400000</v>
      </c>
      <c r="Q152" s="694"/>
      <c r="R152" s="2457"/>
      <c r="S152" s="2321"/>
      <c r="T152" s="696"/>
    </row>
    <row r="153" spans="1:20" ht="15" customHeight="1">
      <c r="A153" s="617"/>
      <c r="B153" s="632"/>
      <c r="C153" s="719"/>
      <c r="D153" s="632"/>
      <c r="F153" s="1511" t="s">
        <v>2354</v>
      </c>
      <c r="G153" s="1552">
        <v>148000</v>
      </c>
      <c r="H153" s="1168" t="s">
        <v>21</v>
      </c>
      <c r="I153" s="1553">
        <v>5</v>
      </c>
      <c r="J153" s="691"/>
      <c r="K153" s="691"/>
      <c r="L153" s="1512"/>
      <c r="M153" s="691"/>
      <c r="N153" s="701"/>
      <c r="O153" s="2539" t="s">
        <v>1037</v>
      </c>
      <c r="P153" s="693">
        <f>ROUNDUP(G153*I153,-3)</f>
        <v>740000</v>
      </c>
      <c r="Q153" s="694"/>
      <c r="R153" s="2457"/>
      <c r="S153" s="2321"/>
      <c r="T153" s="696"/>
    </row>
    <row r="154" spans="1:20" ht="15" customHeight="1">
      <c r="A154" s="617"/>
      <c r="B154" s="632"/>
      <c r="C154" s="719"/>
      <c r="D154" s="632"/>
      <c r="F154" s="1507" t="s">
        <v>1181</v>
      </c>
      <c r="G154" s="679"/>
      <c r="H154" s="679"/>
      <c r="I154" s="679"/>
      <c r="J154" s="679"/>
      <c r="K154" s="679"/>
      <c r="L154" s="679"/>
      <c r="M154" s="679"/>
      <c r="N154" s="679"/>
      <c r="O154" s="687"/>
      <c r="P154" s="681">
        <f>SUM(P155:P156)</f>
        <v>1500000</v>
      </c>
      <c r="Q154" s="2517">
        <f>P154</f>
        <v>1500000</v>
      </c>
      <c r="R154" s="2517">
        <v>1000000</v>
      </c>
      <c r="S154" s="654">
        <f t="shared" ref="S154" si="49">Q154-R154</f>
        <v>500000</v>
      </c>
      <c r="T154" s="2518">
        <f t="shared" ref="T154" si="50">S154/R154</f>
        <v>0.5</v>
      </c>
    </row>
    <row r="155" spans="1:20" ht="15" customHeight="1">
      <c r="A155" s="617"/>
      <c r="B155" s="632"/>
      <c r="C155" s="719"/>
      <c r="D155" s="632"/>
      <c r="F155" s="1511" t="s">
        <v>2356</v>
      </c>
      <c r="G155" s="702">
        <v>300000</v>
      </c>
      <c r="H155" s="691" t="s">
        <v>21</v>
      </c>
      <c r="I155" s="2291">
        <v>3</v>
      </c>
      <c r="J155" s="691"/>
      <c r="K155" s="691"/>
      <c r="L155" s="1512"/>
      <c r="M155" s="691"/>
      <c r="N155" s="701"/>
      <c r="O155" s="701" t="s">
        <v>1037</v>
      </c>
      <c r="P155" s="693">
        <f>ROUNDUP(G155*I155,-3)</f>
        <v>900000</v>
      </c>
      <c r="Q155" s="694"/>
      <c r="R155" s="2457"/>
      <c r="S155" s="2321"/>
      <c r="T155" s="696"/>
    </row>
    <row r="156" spans="1:20" ht="15" customHeight="1">
      <c r="A156" s="617"/>
      <c r="B156" s="632"/>
      <c r="C156" s="719"/>
      <c r="D156" s="632"/>
      <c r="F156" s="1511" t="s">
        <v>2357</v>
      </c>
      <c r="G156" s="702">
        <v>200000</v>
      </c>
      <c r="H156" s="691" t="s">
        <v>21</v>
      </c>
      <c r="I156" s="2291">
        <v>3</v>
      </c>
      <c r="J156" s="691"/>
      <c r="K156" s="691"/>
      <c r="L156" s="1512"/>
      <c r="M156" s="691"/>
      <c r="N156" s="701"/>
      <c r="O156" s="701" t="s">
        <v>1037</v>
      </c>
      <c r="P156" s="693">
        <f>ROUNDUP(G156*I156,-3)</f>
        <v>600000</v>
      </c>
      <c r="Q156" s="694"/>
      <c r="R156" s="2457"/>
      <c r="S156" s="2321"/>
      <c r="T156" s="696"/>
    </row>
    <row r="157" spans="1:20" ht="15" customHeight="1">
      <c r="A157" s="617"/>
      <c r="B157" s="632"/>
      <c r="C157" s="719"/>
      <c r="D157" s="632"/>
      <c r="F157" s="1507" t="s">
        <v>1163</v>
      </c>
      <c r="G157" s="679"/>
      <c r="H157" s="679"/>
      <c r="I157" s="679"/>
      <c r="J157" s="679"/>
      <c r="K157" s="679"/>
      <c r="L157" s="679"/>
      <c r="M157" s="679"/>
      <c r="N157" s="679"/>
      <c r="O157" s="687"/>
      <c r="P157" s="681">
        <f>SUM(P158:P160)</f>
        <v>2000000</v>
      </c>
      <c r="Q157" s="2517">
        <f>P157</f>
        <v>2000000</v>
      </c>
      <c r="R157" s="2517">
        <v>1000000</v>
      </c>
      <c r="S157" s="654">
        <f t="shared" ref="S157" si="51">Q157-R157</f>
        <v>1000000</v>
      </c>
      <c r="T157" s="2518">
        <f t="shared" ref="T157" si="52">S157/R157</f>
        <v>1</v>
      </c>
    </row>
    <row r="158" spans="1:20" ht="15" customHeight="1">
      <c r="A158" s="617"/>
      <c r="B158" s="632"/>
      <c r="C158" s="719"/>
      <c r="D158" s="632"/>
      <c r="F158" s="1511" t="s">
        <v>1182</v>
      </c>
      <c r="G158" s="702">
        <v>700000</v>
      </c>
      <c r="H158" s="691" t="s">
        <v>21</v>
      </c>
      <c r="I158" s="2291">
        <v>2</v>
      </c>
      <c r="J158" s="691"/>
      <c r="K158" s="691"/>
      <c r="L158" s="1512"/>
      <c r="M158" s="691"/>
      <c r="N158" s="701"/>
      <c r="O158" s="701" t="s">
        <v>1157</v>
      </c>
      <c r="P158" s="693">
        <f>ROUNDUP(G158*I158,-3)</f>
        <v>1400000</v>
      </c>
      <c r="Q158" s="694"/>
      <c r="R158" s="2320"/>
      <c r="S158" s="2321"/>
      <c r="T158" s="696"/>
    </row>
    <row r="159" spans="1:20" ht="15" customHeight="1">
      <c r="A159" s="759"/>
      <c r="B159" s="703"/>
      <c r="C159" s="619"/>
      <c r="D159" s="703"/>
      <c r="E159" s="726"/>
      <c r="F159" s="1531" t="s">
        <v>1183</v>
      </c>
      <c r="G159" s="711">
        <v>300000</v>
      </c>
      <c r="H159" s="709" t="s">
        <v>21</v>
      </c>
      <c r="I159" s="1557">
        <v>1</v>
      </c>
      <c r="J159" s="709"/>
      <c r="K159" s="709"/>
      <c r="L159" s="1582"/>
      <c r="M159" s="709"/>
      <c r="N159" s="710"/>
      <c r="O159" s="3270" t="s">
        <v>1037</v>
      </c>
      <c r="P159" s="1560">
        <f>ROUNDUP(G159*I159,-3)</f>
        <v>300000</v>
      </c>
      <c r="Q159" s="712"/>
      <c r="R159" s="2542"/>
      <c r="S159" s="2543"/>
      <c r="T159" s="714"/>
    </row>
    <row r="160" spans="1:20" ht="15" customHeight="1">
      <c r="A160" s="3007"/>
      <c r="B160" s="626"/>
      <c r="C160" s="733"/>
      <c r="D160" s="626"/>
      <c r="E160" s="724"/>
      <c r="F160" s="3020" t="s">
        <v>1184</v>
      </c>
      <c r="G160" s="3021">
        <v>300000</v>
      </c>
      <c r="H160" s="3022" t="s">
        <v>21</v>
      </c>
      <c r="I160" s="3023">
        <v>1</v>
      </c>
      <c r="J160" s="3022"/>
      <c r="K160" s="3022"/>
      <c r="L160" s="3024"/>
      <c r="M160" s="3022"/>
      <c r="N160" s="3025"/>
      <c r="O160" s="3025" t="s">
        <v>1037</v>
      </c>
      <c r="P160" s="3014">
        <f>ROUNDUP(G160*I160,-3)</f>
        <v>300000</v>
      </c>
      <c r="Q160" s="3016"/>
      <c r="R160" s="3026"/>
      <c r="S160" s="3027"/>
      <c r="T160" s="3018"/>
    </row>
    <row r="161" spans="1:20" ht="15" customHeight="1">
      <c r="A161" s="617"/>
      <c r="B161" s="632"/>
      <c r="C161" s="719"/>
      <c r="D161" s="632"/>
      <c r="F161" s="1507" t="s">
        <v>1185</v>
      </c>
      <c r="G161" s="679"/>
      <c r="H161" s="679"/>
      <c r="I161" s="679"/>
      <c r="J161" s="679"/>
      <c r="K161" s="679"/>
      <c r="L161" s="679"/>
      <c r="M161" s="679"/>
      <c r="N161" s="679"/>
      <c r="O161" s="687"/>
      <c r="P161" s="681">
        <f>SUM(P162:P163)</f>
        <v>4864000</v>
      </c>
      <c r="Q161" s="2517">
        <f>P161</f>
        <v>4864000</v>
      </c>
      <c r="R161" s="2517">
        <v>8000000</v>
      </c>
      <c r="S161" s="654">
        <f t="shared" ref="S161" si="53">Q161-R161</f>
        <v>-3136000</v>
      </c>
      <c r="T161" s="2518">
        <f t="shared" ref="T161" si="54">S161/R161</f>
        <v>-0.39200000000000002</v>
      </c>
    </row>
    <row r="162" spans="1:20" ht="15" customHeight="1">
      <c r="A162" s="617"/>
      <c r="B162" s="632"/>
      <c r="C162" s="719"/>
      <c r="D162" s="632"/>
      <c r="F162" s="1511" t="s">
        <v>1164</v>
      </c>
      <c r="G162" s="702">
        <v>50000</v>
      </c>
      <c r="H162" s="691" t="s">
        <v>21</v>
      </c>
      <c r="I162" s="2291">
        <v>4</v>
      </c>
      <c r="J162" s="691"/>
      <c r="K162" s="691"/>
      <c r="L162" s="1512"/>
      <c r="M162" s="691"/>
      <c r="N162" s="701"/>
      <c r="O162" s="701" t="s">
        <v>1037</v>
      </c>
      <c r="P162" s="693">
        <f>ROUNDUP(G162*I162,-3)</f>
        <v>200000</v>
      </c>
      <c r="Q162" s="694"/>
      <c r="R162" s="2320"/>
      <c r="S162" s="2321"/>
      <c r="T162" s="696"/>
    </row>
    <row r="163" spans="1:20" ht="15" customHeight="1">
      <c r="A163" s="617"/>
      <c r="B163" s="632"/>
      <c r="C163" s="719"/>
      <c r="D163" s="632"/>
      <c r="F163" s="1511" t="s">
        <v>1165</v>
      </c>
      <c r="G163" s="1552">
        <v>233200</v>
      </c>
      <c r="H163" s="1168" t="s">
        <v>21</v>
      </c>
      <c r="I163" s="2361">
        <v>20</v>
      </c>
      <c r="J163" s="1168"/>
      <c r="K163" s="1168"/>
      <c r="L163" s="1554"/>
      <c r="M163" s="1168"/>
      <c r="N163" s="692"/>
      <c r="O163" s="692" t="s">
        <v>1037</v>
      </c>
      <c r="P163" s="693">
        <f>ROUNDUP(G163*I163,-3)</f>
        <v>4664000</v>
      </c>
      <c r="Q163" s="666"/>
      <c r="R163" s="2317"/>
      <c r="S163" s="2318"/>
      <c r="T163" s="668"/>
    </row>
    <row r="164" spans="1:20" ht="15" customHeight="1">
      <c r="A164" s="617"/>
      <c r="B164" s="632"/>
      <c r="C164" s="719"/>
      <c r="D164" s="632"/>
      <c r="F164" s="1507" t="s">
        <v>1166</v>
      </c>
      <c r="G164" s="679"/>
      <c r="H164" s="679"/>
      <c r="I164" s="679"/>
      <c r="J164" s="679"/>
      <c r="K164" s="679"/>
      <c r="L164" s="679"/>
      <c r="M164" s="679"/>
      <c r="N164" s="679"/>
      <c r="O164" s="679"/>
      <c r="P164" s="681">
        <f>SUM(P165:P167)</f>
        <v>2000000</v>
      </c>
      <c r="Q164" s="2517">
        <f>P164</f>
        <v>2000000</v>
      </c>
      <c r="R164" s="2517">
        <v>2000000</v>
      </c>
      <c r="S164" s="654">
        <f t="shared" ref="S164" si="55">Q164-R164</f>
        <v>0</v>
      </c>
      <c r="T164" s="2518">
        <f t="shared" ref="T164" si="56">S164/R164</f>
        <v>0</v>
      </c>
    </row>
    <row r="165" spans="1:20" ht="15" customHeight="1">
      <c r="A165" s="617"/>
      <c r="B165" s="632"/>
      <c r="C165" s="719"/>
      <c r="D165" s="632"/>
      <c r="F165" s="1511" t="s">
        <v>1167</v>
      </c>
      <c r="G165" s="702">
        <v>650000</v>
      </c>
      <c r="H165" s="691" t="s">
        <v>21</v>
      </c>
      <c r="I165" s="2541">
        <v>2</v>
      </c>
      <c r="J165" s="691"/>
      <c r="K165" s="691"/>
      <c r="L165" s="1512"/>
      <c r="M165" s="691"/>
      <c r="N165" s="701"/>
      <c r="O165" s="701" t="s">
        <v>1037</v>
      </c>
      <c r="P165" s="693">
        <f>ROUNDUP(G165*I165,-3)</f>
        <v>1300000</v>
      </c>
      <c r="Q165" s="694"/>
      <c r="R165" s="2320"/>
      <c r="S165" s="2321"/>
      <c r="T165" s="696"/>
    </row>
    <row r="166" spans="1:20" ht="15" customHeight="1">
      <c r="A166" s="617"/>
      <c r="B166" s="632"/>
      <c r="C166" s="719"/>
      <c r="D166" s="632"/>
      <c r="F166" s="1511" t="s">
        <v>1186</v>
      </c>
      <c r="G166" s="702">
        <v>30000</v>
      </c>
      <c r="H166" s="691" t="s">
        <v>21</v>
      </c>
      <c r="I166" s="2541">
        <v>2</v>
      </c>
      <c r="J166" s="691" t="s">
        <v>21</v>
      </c>
      <c r="K166" s="2291">
        <v>10</v>
      </c>
      <c r="L166" s="1512"/>
      <c r="M166" s="691"/>
      <c r="N166" s="701"/>
      <c r="O166" s="701" t="s">
        <v>1037</v>
      </c>
      <c r="P166" s="693">
        <f>ROUNDUP(G166*I166*K166,-3)</f>
        <v>600000</v>
      </c>
      <c r="Q166" s="694"/>
      <c r="R166" s="2320"/>
      <c r="S166" s="2321"/>
      <c r="T166" s="696"/>
    </row>
    <row r="167" spans="1:20" ht="15" customHeight="1">
      <c r="A167" s="617"/>
      <c r="B167" s="632"/>
      <c r="C167" s="719"/>
      <c r="D167" s="632"/>
      <c r="F167" s="1511" t="s">
        <v>1159</v>
      </c>
      <c r="G167" s="702">
        <v>50000</v>
      </c>
      <c r="H167" s="691" t="s">
        <v>21</v>
      </c>
      <c r="I167" s="2541">
        <v>2</v>
      </c>
      <c r="J167" s="691"/>
      <c r="K167" s="691"/>
      <c r="L167" s="1512"/>
      <c r="M167" s="691"/>
      <c r="N167" s="701"/>
      <c r="O167" s="701" t="s">
        <v>1037</v>
      </c>
      <c r="P167" s="693">
        <f>ROUNDUP(G167*I167,-3)</f>
        <v>100000</v>
      </c>
      <c r="Q167" s="694"/>
      <c r="R167" s="2320"/>
      <c r="S167" s="2321"/>
      <c r="T167" s="696"/>
    </row>
    <row r="168" spans="1:20" ht="15" customHeight="1">
      <c r="A168" s="617"/>
      <c r="B168" s="632"/>
      <c r="C168" s="719"/>
      <c r="D168" s="632"/>
      <c r="F168" s="1507" t="s">
        <v>1168</v>
      </c>
      <c r="G168" s="679"/>
      <c r="H168" s="679"/>
      <c r="I168" s="679"/>
      <c r="J168" s="679"/>
      <c r="K168" s="679"/>
      <c r="L168" s="679"/>
      <c r="M168" s="679"/>
      <c r="N168" s="679"/>
      <c r="O168" s="679"/>
      <c r="P168" s="681">
        <f>SUM(P169:P170)</f>
        <v>3500000</v>
      </c>
      <c r="Q168" s="2517">
        <f>P168</f>
        <v>3500000</v>
      </c>
      <c r="R168" s="2517">
        <v>1000000</v>
      </c>
      <c r="S168" s="654">
        <f t="shared" ref="S168" si="57">Q168-R168</f>
        <v>2500000</v>
      </c>
      <c r="T168" s="2518">
        <f t="shared" ref="T168" si="58">S168/R168</f>
        <v>2.5</v>
      </c>
    </row>
    <row r="169" spans="1:20" ht="15" customHeight="1">
      <c r="A169" s="617"/>
      <c r="B169" s="632"/>
      <c r="C169" s="719"/>
      <c r="D169" s="632"/>
      <c r="F169" s="1511" t="s">
        <v>1161</v>
      </c>
      <c r="G169" s="702">
        <v>400000</v>
      </c>
      <c r="H169" s="691" t="s">
        <v>21</v>
      </c>
      <c r="I169" s="2291">
        <v>5</v>
      </c>
      <c r="J169" s="691"/>
      <c r="K169" s="691"/>
      <c r="L169" s="1512"/>
      <c r="M169" s="691"/>
      <c r="N169" s="701"/>
      <c r="O169" s="701" t="s">
        <v>1037</v>
      </c>
      <c r="P169" s="693">
        <f>ROUNDUP(G169*I169,-3)</f>
        <v>2000000</v>
      </c>
      <c r="Q169" s="694"/>
      <c r="R169" s="2457"/>
      <c r="S169" s="2321"/>
      <c r="T169" s="696"/>
    </row>
    <row r="170" spans="1:20" ht="15" customHeight="1">
      <c r="A170" s="617"/>
      <c r="B170" s="632"/>
      <c r="C170" s="719"/>
      <c r="D170" s="632"/>
      <c r="F170" s="1511" t="s">
        <v>1162</v>
      </c>
      <c r="G170" s="702">
        <v>300000</v>
      </c>
      <c r="H170" s="691" t="s">
        <v>21</v>
      </c>
      <c r="I170" s="2291">
        <v>5</v>
      </c>
      <c r="J170" s="691"/>
      <c r="K170" s="691"/>
      <c r="L170" s="1512"/>
      <c r="M170" s="691"/>
      <c r="N170" s="701"/>
      <c r="O170" s="701" t="s">
        <v>1037</v>
      </c>
      <c r="P170" s="693">
        <f>ROUNDUP(G170*I170,-3)</f>
        <v>1500000</v>
      </c>
      <c r="Q170" s="694"/>
      <c r="R170" s="2457"/>
      <c r="S170" s="2321"/>
      <c r="T170" s="696"/>
    </row>
    <row r="171" spans="1:20" ht="15" customHeight="1">
      <c r="A171" s="617"/>
      <c r="B171" s="632"/>
      <c r="C171" s="719"/>
      <c r="D171" s="632"/>
      <c r="F171" s="1507" t="s">
        <v>1187</v>
      </c>
      <c r="G171" s="679"/>
      <c r="H171" s="679"/>
      <c r="I171" s="679"/>
      <c r="J171" s="679"/>
      <c r="K171" s="679"/>
      <c r="L171" s="679"/>
      <c r="M171" s="679"/>
      <c r="N171" s="679"/>
      <c r="O171" s="679"/>
      <c r="P171" s="681">
        <f>SUM(P172:P173)</f>
        <v>4500000</v>
      </c>
      <c r="Q171" s="2517">
        <f>P171</f>
        <v>4500000</v>
      </c>
      <c r="R171" s="2517">
        <v>3000000</v>
      </c>
      <c r="S171" s="654">
        <f t="shared" ref="S171" si="59">Q171-R171</f>
        <v>1500000</v>
      </c>
      <c r="T171" s="2518">
        <f t="shared" ref="T171" si="60">S171/R171</f>
        <v>0.5</v>
      </c>
    </row>
    <row r="172" spans="1:20" ht="15" customHeight="1">
      <c r="A172" s="617"/>
      <c r="B172" s="632"/>
      <c r="C172" s="719"/>
      <c r="D172" s="632"/>
      <c r="F172" s="1511" t="s">
        <v>1188</v>
      </c>
      <c r="G172" s="702">
        <v>500000</v>
      </c>
      <c r="H172" s="691" t="s">
        <v>21</v>
      </c>
      <c r="I172" s="2291">
        <v>5</v>
      </c>
      <c r="J172" s="691"/>
      <c r="K172" s="691"/>
      <c r="L172" s="1512"/>
      <c r="M172" s="691"/>
      <c r="N172" s="701"/>
      <c r="O172" s="701" t="s">
        <v>1036</v>
      </c>
      <c r="P172" s="693">
        <f>ROUNDUP(G172*I172,-3)</f>
        <v>2500000</v>
      </c>
      <c r="Q172" s="694"/>
      <c r="R172" s="2457"/>
      <c r="S172" s="2321"/>
      <c r="T172" s="696"/>
    </row>
    <row r="173" spans="1:20" ht="15" customHeight="1">
      <c r="A173" s="617"/>
      <c r="B173" s="632"/>
      <c r="C173" s="719"/>
      <c r="D173" s="632"/>
      <c r="F173" s="1511" t="s">
        <v>1189</v>
      </c>
      <c r="G173" s="702">
        <v>400000</v>
      </c>
      <c r="H173" s="691" t="s">
        <v>21</v>
      </c>
      <c r="I173" s="2291">
        <v>5</v>
      </c>
      <c r="J173" s="691"/>
      <c r="K173" s="691"/>
      <c r="L173" s="1512"/>
      <c r="M173" s="691"/>
      <c r="N173" s="701"/>
      <c r="O173" s="701" t="s">
        <v>1041</v>
      </c>
      <c r="P173" s="693">
        <f>ROUNDUP(G173*I173,-3)</f>
        <v>2000000</v>
      </c>
      <c r="Q173" s="694"/>
      <c r="R173" s="2457"/>
      <c r="S173" s="2321"/>
      <c r="T173" s="696"/>
    </row>
    <row r="174" spans="1:20" ht="15" customHeight="1">
      <c r="A174" s="617"/>
      <c r="B174" s="632"/>
      <c r="C174" s="719"/>
      <c r="D174" s="632"/>
      <c r="F174" s="1507" t="s">
        <v>1190</v>
      </c>
      <c r="G174" s="679"/>
      <c r="H174" s="679"/>
      <c r="I174" s="679"/>
      <c r="J174" s="679"/>
      <c r="K174" s="679"/>
      <c r="L174" s="679"/>
      <c r="M174" s="679"/>
      <c r="N174" s="679"/>
      <c r="O174" s="679"/>
      <c r="P174" s="681">
        <f>SUM(P175:P176)</f>
        <v>2500000</v>
      </c>
      <c r="Q174" s="2517">
        <f>P174</f>
        <v>2500000</v>
      </c>
      <c r="R174" s="2517">
        <v>3000000</v>
      </c>
      <c r="S174" s="654">
        <f t="shared" ref="S174" si="61">Q174-R174</f>
        <v>-500000</v>
      </c>
      <c r="T174" s="2518">
        <f t="shared" ref="T174" si="62">S174/R174</f>
        <v>-0.16666666666666666</v>
      </c>
    </row>
    <row r="175" spans="1:20" ht="15" customHeight="1">
      <c r="A175" s="617"/>
      <c r="B175" s="632"/>
      <c r="C175" s="719"/>
      <c r="D175" s="632"/>
      <c r="E175" s="3358"/>
      <c r="F175" s="1511" t="s">
        <v>1161</v>
      </c>
      <c r="G175" s="702">
        <v>300000</v>
      </c>
      <c r="H175" s="691" t="s">
        <v>21</v>
      </c>
      <c r="I175" s="2291">
        <v>5</v>
      </c>
      <c r="J175" s="691"/>
      <c r="K175" s="691"/>
      <c r="L175" s="1512"/>
      <c r="M175" s="691"/>
      <c r="N175" s="701"/>
      <c r="O175" s="701" t="s">
        <v>1041</v>
      </c>
      <c r="P175" s="693">
        <f>ROUNDUP(G175*I175,-3)</f>
        <v>1500000</v>
      </c>
      <c r="Q175" s="694"/>
      <c r="R175" s="2320"/>
      <c r="S175" s="2321"/>
      <c r="T175" s="696"/>
    </row>
    <row r="176" spans="1:20" ht="15" customHeight="1">
      <c r="A176" s="617"/>
      <c r="B176" s="632"/>
      <c r="C176" s="719"/>
      <c r="D176" s="632"/>
      <c r="E176" s="3358"/>
      <c r="F176" s="1511" t="s">
        <v>1189</v>
      </c>
      <c r="G176" s="702">
        <v>200000</v>
      </c>
      <c r="H176" s="691" t="s">
        <v>21</v>
      </c>
      <c r="I176" s="2291">
        <v>5</v>
      </c>
      <c r="J176" s="691"/>
      <c r="K176" s="691"/>
      <c r="L176" s="1512"/>
      <c r="M176" s="691"/>
      <c r="N176" s="701"/>
      <c r="O176" s="701" t="s">
        <v>1036</v>
      </c>
      <c r="P176" s="693">
        <f>ROUNDUP(G176*I176,-3)</f>
        <v>1000000</v>
      </c>
      <c r="Q176" s="694"/>
      <c r="R176" s="2320"/>
      <c r="S176" s="2321"/>
      <c r="T176" s="696"/>
    </row>
    <row r="177" spans="1:20" ht="15" customHeight="1">
      <c r="A177" s="617"/>
      <c r="B177" s="632"/>
      <c r="C177" s="719"/>
      <c r="D177" s="632"/>
      <c r="E177" s="3358"/>
      <c r="F177" s="1507" t="s">
        <v>1191</v>
      </c>
      <c r="G177" s="679"/>
      <c r="H177" s="679"/>
      <c r="I177" s="679"/>
      <c r="J177" s="679"/>
      <c r="K177" s="679"/>
      <c r="L177" s="679"/>
      <c r="M177" s="679"/>
      <c r="N177" s="679"/>
      <c r="O177" s="679"/>
      <c r="P177" s="681">
        <f>SUM(P178:P179)</f>
        <v>3000000</v>
      </c>
      <c r="Q177" s="2517">
        <f>P177</f>
        <v>3000000</v>
      </c>
      <c r="R177" s="2517">
        <v>0</v>
      </c>
      <c r="S177" s="654">
        <f t="shared" ref="S177" si="63">Q177-R177</f>
        <v>3000000</v>
      </c>
      <c r="T177" s="2518"/>
    </row>
    <row r="178" spans="1:20" ht="15" customHeight="1">
      <c r="A178" s="617"/>
      <c r="B178" s="632"/>
      <c r="C178" s="719"/>
      <c r="D178" s="632"/>
      <c r="E178" s="3379"/>
      <c r="F178" s="1511" t="s">
        <v>1188</v>
      </c>
      <c r="G178" s="702">
        <v>300000</v>
      </c>
      <c r="H178" s="691" t="s">
        <v>21</v>
      </c>
      <c r="I178" s="2291">
        <v>6</v>
      </c>
      <c r="J178" s="691"/>
      <c r="K178" s="691"/>
      <c r="L178" s="1512"/>
      <c r="M178" s="691"/>
      <c r="N178" s="701"/>
      <c r="O178" s="701" t="s">
        <v>1041</v>
      </c>
      <c r="P178" s="693">
        <f>ROUNDUP(G178*I178,-3)</f>
        <v>1800000</v>
      </c>
      <c r="Q178" s="694"/>
      <c r="R178" s="2457"/>
      <c r="S178" s="2321"/>
      <c r="T178" s="696"/>
    </row>
    <row r="179" spans="1:20" ht="15" customHeight="1">
      <c r="A179" s="617"/>
      <c r="B179" s="632"/>
      <c r="C179" s="719"/>
      <c r="D179" s="632"/>
      <c r="E179" s="3379"/>
      <c r="F179" s="1511" t="s">
        <v>1192</v>
      </c>
      <c r="G179" s="702">
        <v>200000</v>
      </c>
      <c r="H179" s="691" t="s">
        <v>21</v>
      </c>
      <c r="I179" s="2291">
        <v>6</v>
      </c>
      <c r="J179" s="691"/>
      <c r="K179" s="691"/>
      <c r="L179" s="1512"/>
      <c r="M179" s="691"/>
      <c r="N179" s="701"/>
      <c r="O179" s="701" t="s">
        <v>1037</v>
      </c>
      <c r="P179" s="693">
        <f>ROUNDUP(G179*I179,-3)</f>
        <v>1200000</v>
      </c>
      <c r="Q179" s="694"/>
      <c r="R179" s="2457"/>
      <c r="S179" s="2321"/>
      <c r="T179" s="696"/>
    </row>
    <row r="180" spans="1:20" ht="15" customHeight="1">
      <c r="A180" s="617"/>
      <c r="B180" s="632"/>
      <c r="C180" s="719"/>
      <c r="D180" s="632"/>
      <c r="E180" s="3380"/>
      <c r="F180" s="1507" t="s">
        <v>1193</v>
      </c>
      <c r="G180" s="679"/>
      <c r="H180" s="679"/>
      <c r="I180" s="679"/>
      <c r="J180" s="679"/>
      <c r="K180" s="679"/>
      <c r="L180" s="679"/>
      <c r="M180" s="679"/>
      <c r="N180" s="679"/>
      <c r="O180" s="679"/>
      <c r="P180" s="681">
        <f>SUM(P181:P182)</f>
        <v>3500000</v>
      </c>
      <c r="Q180" s="2517">
        <f>P180</f>
        <v>3500000</v>
      </c>
      <c r="R180" s="2517">
        <v>2600000</v>
      </c>
      <c r="S180" s="654">
        <f t="shared" ref="S180" si="64">Q180-R180</f>
        <v>900000</v>
      </c>
      <c r="T180" s="2518">
        <f t="shared" ref="T180" si="65">S180/R180</f>
        <v>0.34615384615384615</v>
      </c>
    </row>
    <row r="181" spans="1:20" ht="15" customHeight="1">
      <c r="A181" s="617"/>
      <c r="B181" s="632"/>
      <c r="C181" s="719"/>
      <c r="D181" s="632"/>
      <c r="E181" s="3380"/>
      <c r="F181" s="1511" t="s">
        <v>1194</v>
      </c>
      <c r="G181" s="702">
        <v>80000</v>
      </c>
      <c r="H181" s="691" t="s">
        <v>21</v>
      </c>
      <c r="I181" s="2291">
        <v>16</v>
      </c>
      <c r="J181" s="691" t="s">
        <v>21</v>
      </c>
      <c r="K181" s="2544">
        <v>2</v>
      </c>
      <c r="L181" s="1512"/>
      <c r="M181" s="691"/>
      <c r="N181" s="701"/>
      <c r="O181" s="701" t="s">
        <v>1037</v>
      </c>
      <c r="P181" s="693">
        <f>ROUNDUP(G181*I181*K181,-3)</f>
        <v>2560000</v>
      </c>
      <c r="Q181" s="2545"/>
      <c r="R181" s="2320"/>
      <c r="S181" s="2321"/>
      <c r="T181" s="696"/>
    </row>
    <row r="182" spans="1:20" ht="15" customHeight="1">
      <c r="A182" s="617"/>
      <c r="B182" s="632"/>
      <c r="C182" s="719"/>
      <c r="D182" s="632"/>
      <c r="E182" s="3380"/>
      <c r="F182" s="1511" t="s">
        <v>1195</v>
      </c>
      <c r="G182" s="702">
        <v>470000</v>
      </c>
      <c r="H182" s="691" t="s">
        <v>21</v>
      </c>
      <c r="I182" s="2544">
        <v>2</v>
      </c>
      <c r="J182" s="691"/>
      <c r="K182" s="691"/>
      <c r="L182" s="1512"/>
      <c r="M182" s="691"/>
      <c r="N182" s="701"/>
      <c r="O182" s="701" t="s">
        <v>1041</v>
      </c>
      <c r="P182" s="693">
        <f>ROUNDUP(G182*I182,-3)</f>
        <v>940000</v>
      </c>
      <c r="Q182" s="2545"/>
      <c r="R182" s="2320"/>
      <c r="S182" s="2321"/>
      <c r="T182" s="696"/>
    </row>
    <row r="183" spans="1:20" ht="15" customHeight="1">
      <c r="A183" s="617"/>
      <c r="B183" s="632"/>
      <c r="C183" s="719"/>
      <c r="D183" s="632"/>
      <c r="E183" s="3380"/>
      <c r="F183" s="1413" t="s">
        <v>1196</v>
      </c>
      <c r="G183" s="649"/>
      <c r="H183" s="649"/>
      <c r="I183" s="649"/>
      <c r="J183" s="649"/>
      <c r="K183" s="649"/>
      <c r="L183" s="649"/>
      <c r="M183" s="649"/>
      <c r="N183" s="649"/>
      <c r="O183" s="651"/>
      <c r="P183" s="652">
        <f>SUM(P184:P186)</f>
        <v>3000000</v>
      </c>
      <c r="Q183" s="2517">
        <f>P183</f>
        <v>3000000</v>
      </c>
      <c r="R183" s="2546">
        <v>3000000</v>
      </c>
      <c r="S183" s="654">
        <f t="shared" ref="S183" si="66">Q183-R183</f>
        <v>0</v>
      </c>
      <c r="T183" s="2518">
        <f t="shared" ref="T183" si="67">S183/R183</f>
        <v>0</v>
      </c>
    </row>
    <row r="184" spans="1:20" ht="15" customHeight="1">
      <c r="A184" s="617"/>
      <c r="B184" s="632"/>
      <c r="C184" s="719"/>
      <c r="D184" s="632"/>
      <c r="E184" s="3380"/>
      <c r="F184" s="1415" t="s">
        <v>1197</v>
      </c>
      <c r="G184" s="1459">
        <v>200000</v>
      </c>
      <c r="H184" s="1417" t="s">
        <v>21</v>
      </c>
      <c r="I184" s="2393">
        <v>1</v>
      </c>
      <c r="J184" s="1417"/>
      <c r="K184" s="1417"/>
      <c r="L184" s="1492"/>
      <c r="M184" s="1417"/>
      <c r="N184" s="1421"/>
      <c r="O184" s="1421" t="s">
        <v>22</v>
      </c>
      <c r="P184" s="665">
        <f>ROUNDUP(G184*I184,-3)</f>
        <v>200000</v>
      </c>
      <c r="Q184" s="2545"/>
      <c r="R184" s="2320"/>
      <c r="S184" s="2321"/>
      <c r="T184" s="696"/>
    </row>
    <row r="185" spans="1:20" ht="15" customHeight="1">
      <c r="A185" s="617"/>
      <c r="B185" s="632"/>
      <c r="C185" s="719"/>
      <c r="D185" s="632"/>
      <c r="E185" s="3380"/>
      <c r="F185" s="1415" t="s">
        <v>1198</v>
      </c>
      <c r="G185" s="1459">
        <v>1000000</v>
      </c>
      <c r="H185" s="1417" t="s">
        <v>21</v>
      </c>
      <c r="I185" s="2393">
        <v>1</v>
      </c>
      <c r="J185" s="1417"/>
      <c r="K185" s="1417"/>
      <c r="L185" s="1492"/>
      <c r="M185" s="1417"/>
      <c r="N185" s="1421"/>
      <c r="O185" s="1421" t="s">
        <v>22</v>
      </c>
      <c r="P185" s="665">
        <f t="shared" ref="P185:P186" si="68">ROUNDUP(G185*I185,-3)</f>
        <v>1000000</v>
      </c>
      <c r="Q185" s="2545"/>
      <c r="R185" s="2320"/>
      <c r="S185" s="2321"/>
      <c r="T185" s="696"/>
    </row>
    <row r="186" spans="1:20" ht="15" customHeight="1">
      <c r="A186" s="617"/>
      <c r="B186" s="632"/>
      <c r="C186" s="719"/>
      <c r="D186" s="632"/>
      <c r="E186" s="3380"/>
      <c r="F186" s="1415" t="s">
        <v>1199</v>
      </c>
      <c r="G186" s="1459">
        <v>1800000</v>
      </c>
      <c r="H186" s="1417" t="s">
        <v>21</v>
      </c>
      <c r="I186" s="2393">
        <v>1</v>
      </c>
      <c r="J186" s="1417"/>
      <c r="K186" s="1417"/>
      <c r="L186" s="1492"/>
      <c r="M186" s="1417"/>
      <c r="N186" s="1421"/>
      <c r="O186" s="1421" t="s">
        <v>22</v>
      </c>
      <c r="P186" s="665">
        <f t="shared" si="68"/>
        <v>1800000</v>
      </c>
      <c r="Q186" s="2545"/>
      <c r="R186" s="2320"/>
      <c r="S186" s="2321"/>
      <c r="T186" s="696"/>
    </row>
    <row r="187" spans="1:20" ht="15" customHeight="1">
      <c r="A187" s="617"/>
      <c r="B187" s="632"/>
      <c r="C187" s="719"/>
      <c r="D187" s="632"/>
      <c r="E187" s="3380"/>
      <c r="F187" s="1413" t="s">
        <v>2876</v>
      </c>
      <c r="G187" s="649"/>
      <c r="H187" s="649"/>
      <c r="I187" s="649"/>
      <c r="J187" s="649"/>
      <c r="K187" s="649"/>
      <c r="L187" s="649"/>
      <c r="M187" s="649"/>
      <c r="N187" s="649"/>
      <c r="O187" s="651"/>
      <c r="P187" s="652"/>
      <c r="Q187" s="2517">
        <f>P187</f>
        <v>0</v>
      </c>
      <c r="R187" s="2546">
        <v>2000000</v>
      </c>
      <c r="S187" s="654">
        <f t="shared" ref="S187" si="69">Q187-R187</f>
        <v>-2000000</v>
      </c>
      <c r="T187" s="2518">
        <f t="shared" ref="T187" si="70">S187/R187</f>
        <v>-1</v>
      </c>
    </row>
    <row r="188" spans="1:20" ht="15" customHeight="1">
      <c r="A188" s="617"/>
      <c r="B188" s="632"/>
      <c r="C188" s="719"/>
      <c r="D188" s="632"/>
      <c r="E188" s="3380"/>
      <c r="F188" s="1413" t="s">
        <v>2877</v>
      </c>
      <c r="G188" s="649"/>
      <c r="H188" s="649"/>
      <c r="I188" s="649"/>
      <c r="J188" s="649"/>
      <c r="K188" s="649"/>
      <c r="L188" s="649"/>
      <c r="M188" s="649"/>
      <c r="N188" s="649"/>
      <c r="O188" s="651"/>
      <c r="P188" s="652"/>
      <c r="Q188" s="2517">
        <f>P188</f>
        <v>0</v>
      </c>
      <c r="R188" s="2546">
        <v>2900000</v>
      </c>
      <c r="S188" s="654">
        <f t="shared" ref="S188:S189" si="71">Q188-R188</f>
        <v>-2900000</v>
      </c>
      <c r="T188" s="2518">
        <f t="shared" ref="T188:T189" si="72">S188/R188</f>
        <v>-1</v>
      </c>
    </row>
    <row r="189" spans="1:20" ht="15" customHeight="1">
      <c r="A189" s="617"/>
      <c r="B189" s="632"/>
      <c r="C189" s="719"/>
      <c r="D189" s="632"/>
      <c r="E189" s="3381"/>
      <c r="F189" s="1483" t="s">
        <v>2348</v>
      </c>
      <c r="G189" s="1485"/>
      <c r="H189" s="1485"/>
      <c r="I189" s="1485"/>
      <c r="J189" s="1485"/>
      <c r="K189" s="1485"/>
      <c r="L189" s="1485"/>
      <c r="M189" s="1485"/>
      <c r="N189" s="1485"/>
      <c r="O189" s="1487"/>
      <c r="P189" s="1488"/>
      <c r="Q189" s="2547">
        <f>P189</f>
        <v>0</v>
      </c>
      <c r="R189" s="2548">
        <v>3000000</v>
      </c>
      <c r="S189" s="1489">
        <f t="shared" si="71"/>
        <v>-3000000</v>
      </c>
      <c r="T189" s="2549">
        <f t="shared" si="72"/>
        <v>-1</v>
      </c>
    </row>
    <row r="190" spans="1:20" ht="15" customHeight="1">
      <c r="A190" s="617"/>
      <c r="B190" s="632"/>
      <c r="C190" s="719"/>
      <c r="D190" s="632"/>
      <c r="E190" s="3750" t="s">
        <v>730</v>
      </c>
      <c r="F190" s="3751"/>
      <c r="G190" s="3751"/>
      <c r="H190" s="3751"/>
      <c r="I190" s="3751"/>
      <c r="J190" s="3751"/>
      <c r="K190" s="3751"/>
      <c r="L190" s="3751"/>
      <c r="M190" s="3751"/>
      <c r="N190" s="3751"/>
      <c r="O190" s="3751"/>
      <c r="P190" s="3752"/>
      <c r="Q190" s="1049">
        <f>P191+P194</f>
        <v>6040000</v>
      </c>
      <c r="R190" s="1049">
        <f>SUM(R191:R196)</f>
        <v>5000000</v>
      </c>
      <c r="S190" s="1050">
        <f>Q190-R190</f>
        <v>1040000</v>
      </c>
      <c r="T190" s="1051">
        <f t="shared" ref="T190:T191" si="73">S190/R190</f>
        <v>0.20799999999999999</v>
      </c>
    </row>
    <row r="191" spans="1:20" ht="15" customHeight="1">
      <c r="A191" s="617"/>
      <c r="B191" s="632"/>
      <c r="C191" s="719"/>
      <c r="D191" s="632"/>
      <c r="F191" s="1507" t="s">
        <v>1200</v>
      </c>
      <c r="G191" s="679"/>
      <c r="H191" s="679"/>
      <c r="I191" s="679"/>
      <c r="J191" s="679"/>
      <c r="K191" s="679"/>
      <c r="L191" s="679"/>
      <c r="M191" s="679"/>
      <c r="N191" s="679"/>
      <c r="O191" s="679"/>
      <c r="P191" s="681">
        <f>SUM(P192:P193)</f>
        <v>4540000</v>
      </c>
      <c r="Q191" s="2517">
        <f>P191</f>
        <v>4540000</v>
      </c>
      <c r="R191" s="2517">
        <v>4000000</v>
      </c>
      <c r="S191" s="654">
        <f t="shared" ref="S191" si="74">Q191-R191</f>
        <v>540000</v>
      </c>
      <c r="T191" s="2518">
        <f t="shared" si="73"/>
        <v>0.13500000000000001</v>
      </c>
    </row>
    <row r="192" spans="1:20" ht="15" customHeight="1">
      <c r="A192" s="617"/>
      <c r="B192" s="632"/>
      <c r="C192" s="719"/>
      <c r="D192" s="632"/>
      <c r="F192" s="1511" t="s">
        <v>1201</v>
      </c>
      <c r="G192" s="1552">
        <v>500000</v>
      </c>
      <c r="H192" s="1168" t="s">
        <v>21</v>
      </c>
      <c r="I192" s="1553">
        <v>8</v>
      </c>
      <c r="J192" s="1168"/>
      <c r="K192" s="1168"/>
      <c r="L192" s="1554"/>
      <c r="M192" s="1168"/>
      <c r="N192" s="692"/>
      <c r="O192" s="692" t="s">
        <v>1202</v>
      </c>
      <c r="P192" s="693">
        <f>ROUNDUP(G192*I192,-3)</f>
        <v>4000000</v>
      </c>
      <c r="Q192" s="666"/>
      <c r="R192" s="2550"/>
      <c r="S192" s="2318"/>
      <c r="T192" s="668"/>
    </row>
    <row r="193" spans="1:20" ht="15" customHeight="1">
      <c r="A193" s="617"/>
      <c r="B193" s="632"/>
      <c r="C193" s="719"/>
      <c r="D193" s="632"/>
      <c r="F193" s="1511" t="s">
        <v>1203</v>
      </c>
      <c r="G193" s="1552">
        <v>540000</v>
      </c>
      <c r="H193" s="1168" t="s">
        <v>21</v>
      </c>
      <c r="I193" s="1553">
        <v>1</v>
      </c>
      <c r="J193" s="1168"/>
      <c r="K193" s="1168"/>
      <c r="L193" s="1554"/>
      <c r="M193" s="1168"/>
      <c r="N193" s="692"/>
      <c r="O193" s="692" t="s">
        <v>1202</v>
      </c>
      <c r="P193" s="693">
        <f>ROUNDUP(G193*I193,-3)</f>
        <v>540000</v>
      </c>
      <c r="Q193" s="666"/>
      <c r="R193" s="2550"/>
      <c r="S193" s="2318"/>
      <c r="T193" s="668"/>
    </row>
    <row r="194" spans="1:20" ht="15" customHeight="1">
      <c r="A194" s="617"/>
      <c r="B194" s="632"/>
      <c r="C194" s="719"/>
      <c r="D194" s="632"/>
      <c r="F194" s="1507" t="s">
        <v>1204</v>
      </c>
      <c r="G194" s="679"/>
      <c r="H194" s="679"/>
      <c r="I194" s="679"/>
      <c r="J194" s="679"/>
      <c r="K194" s="679"/>
      <c r="L194" s="679"/>
      <c r="M194" s="679"/>
      <c r="N194" s="679"/>
      <c r="O194" s="687" t="s">
        <v>22</v>
      </c>
      <c r="P194" s="681">
        <f>SUM(P195:P196)</f>
        <v>1500000</v>
      </c>
      <c r="Q194" s="2517">
        <f>P194</f>
        <v>1500000</v>
      </c>
      <c r="R194" s="2517">
        <v>1000000</v>
      </c>
      <c r="S194" s="654">
        <f t="shared" ref="S194" si="75">Q194-R194</f>
        <v>500000</v>
      </c>
      <c r="T194" s="2518">
        <f t="shared" ref="T194" si="76">S194/R194</f>
        <v>0.5</v>
      </c>
    </row>
    <row r="195" spans="1:20" ht="15" customHeight="1">
      <c r="A195" s="617"/>
      <c r="B195" s="632"/>
      <c r="C195" s="719"/>
      <c r="D195" s="632"/>
      <c r="E195" s="3358"/>
      <c r="F195" s="1511" t="s">
        <v>1205</v>
      </c>
      <c r="G195" s="1552">
        <v>300000</v>
      </c>
      <c r="H195" s="1168" t="s">
        <v>21</v>
      </c>
      <c r="I195" s="2291">
        <v>3</v>
      </c>
      <c r="J195" s="1168"/>
      <c r="K195" s="1168"/>
      <c r="L195" s="1554"/>
      <c r="M195" s="1168"/>
      <c r="N195" s="692"/>
      <c r="O195" s="692" t="s">
        <v>1172</v>
      </c>
      <c r="P195" s="693">
        <f>ROUNDUP(G195*I195,-3)</f>
        <v>900000</v>
      </c>
      <c r="Q195" s="666"/>
      <c r="R195" s="2550"/>
      <c r="S195" s="2318"/>
      <c r="T195" s="668"/>
    </row>
    <row r="196" spans="1:20" ht="15" customHeight="1">
      <c r="A196" s="759"/>
      <c r="B196" s="703"/>
      <c r="C196" s="619"/>
      <c r="D196" s="703"/>
      <c r="E196" s="3365"/>
      <c r="F196" s="1531" t="s">
        <v>1203</v>
      </c>
      <c r="G196" s="1556">
        <v>200000</v>
      </c>
      <c r="H196" s="1136" t="s">
        <v>21</v>
      </c>
      <c r="I196" s="1557">
        <v>3</v>
      </c>
      <c r="J196" s="1136"/>
      <c r="K196" s="1136"/>
      <c r="L196" s="1559"/>
      <c r="M196" s="1136"/>
      <c r="N196" s="1537"/>
      <c r="O196" s="1537" t="s">
        <v>1202</v>
      </c>
      <c r="P196" s="1560">
        <f>ROUNDUP(G196*I196,-3)</f>
        <v>600000</v>
      </c>
      <c r="Q196" s="1561"/>
      <c r="R196" s="3028"/>
      <c r="S196" s="3029"/>
      <c r="T196" s="1563"/>
    </row>
    <row r="197" spans="1:20" ht="15" customHeight="1">
      <c r="A197" s="617"/>
      <c r="B197" s="632"/>
      <c r="C197" s="719"/>
      <c r="D197" s="632"/>
      <c r="E197" s="3750" t="s">
        <v>3048</v>
      </c>
      <c r="F197" s="3751"/>
      <c r="G197" s="3751"/>
      <c r="H197" s="3751"/>
      <c r="I197" s="3751"/>
      <c r="J197" s="3751"/>
      <c r="K197" s="3751"/>
      <c r="L197" s="3751"/>
      <c r="M197" s="3751"/>
      <c r="N197" s="3751"/>
      <c r="O197" s="3751"/>
      <c r="P197" s="3752"/>
      <c r="Q197" s="1049">
        <f>P198+P201</f>
        <v>6600000</v>
      </c>
      <c r="R197" s="1049">
        <f>SUM(R198:R204)</f>
        <v>3000000</v>
      </c>
      <c r="S197" s="1050">
        <f>Q197-R197</f>
        <v>3600000</v>
      </c>
      <c r="T197" s="1051">
        <f t="shared" ref="T197" si="77">S197/R197</f>
        <v>1.2</v>
      </c>
    </row>
    <row r="198" spans="1:20" ht="15" customHeight="1">
      <c r="A198" s="617"/>
      <c r="B198" s="632"/>
      <c r="C198" s="719"/>
      <c r="D198" s="632"/>
      <c r="E198" s="3291"/>
      <c r="F198" s="1507" t="s">
        <v>1206</v>
      </c>
      <c r="G198" s="679"/>
      <c r="H198" s="679"/>
      <c r="I198" s="679"/>
      <c r="J198" s="679"/>
      <c r="K198" s="679"/>
      <c r="L198" s="679"/>
      <c r="M198" s="679"/>
      <c r="N198" s="679"/>
      <c r="O198" s="679"/>
      <c r="P198" s="681">
        <f>SUM(P199:P200)</f>
        <v>3000000</v>
      </c>
      <c r="Q198" s="2517">
        <f>P198</f>
        <v>3000000</v>
      </c>
      <c r="R198" s="2551"/>
      <c r="S198" s="654">
        <f t="shared" ref="S198" si="78">Q198-R198</f>
        <v>3000000</v>
      </c>
      <c r="T198" s="2518"/>
    </row>
    <row r="199" spans="1:20" ht="15" customHeight="1">
      <c r="A199" s="617"/>
      <c r="B199" s="632"/>
      <c r="C199" s="719"/>
      <c r="D199" s="632"/>
      <c r="E199" s="3291"/>
      <c r="F199" s="1511" t="s">
        <v>1207</v>
      </c>
      <c r="G199" s="702">
        <v>2000000</v>
      </c>
      <c r="H199" s="691" t="s">
        <v>21</v>
      </c>
      <c r="I199" s="1553">
        <v>1</v>
      </c>
      <c r="J199" s="691"/>
      <c r="K199" s="691"/>
      <c r="L199" s="1512"/>
      <c r="M199" s="691"/>
      <c r="N199" s="701"/>
      <c r="O199" s="701" t="s">
        <v>22</v>
      </c>
      <c r="P199" s="693">
        <f>ROUNDUP(G199*I199,-3)</f>
        <v>2000000</v>
      </c>
      <c r="Q199" s="694"/>
      <c r="R199" s="2320"/>
      <c r="S199" s="2321"/>
      <c r="T199" s="696"/>
    </row>
    <row r="200" spans="1:20" ht="15" customHeight="1">
      <c r="A200" s="617"/>
      <c r="B200" s="632"/>
      <c r="C200" s="719"/>
      <c r="D200" s="632"/>
      <c r="E200" s="3291"/>
      <c r="F200" s="1511" t="s">
        <v>1208</v>
      </c>
      <c r="G200" s="702">
        <v>1000000</v>
      </c>
      <c r="H200" s="691" t="s">
        <v>21</v>
      </c>
      <c r="I200" s="1553">
        <v>1</v>
      </c>
      <c r="J200" s="691"/>
      <c r="K200" s="691"/>
      <c r="L200" s="1512"/>
      <c r="M200" s="691"/>
      <c r="N200" s="701"/>
      <c r="O200" s="701" t="s">
        <v>22</v>
      </c>
      <c r="P200" s="693">
        <f>ROUNDUP(G200*I200,-3)</f>
        <v>1000000</v>
      </c>
      <c r="Q200" s="694"/>
      <c r="R200" s="2320"/>
      <c r="S200" s="2321"/>
      <c r="T200" s="696"/>
    </row>
    <row r="201" spans="1:20" ht="15" customHeight="1">
      <c r="A201" s="617"/>
      <c r="B201" s="632"/>
      <c r="C201" s="719"/>
      <c r="D201" s="632"/>
      <c r="E201" s="3291"/>
      <c r="F201" s="1507" t="s">
        <v>1209</v>
      </c>
      <c r="G201" s="679"/>
      <c r="H201" s="679"/>
      <c r="I201" s="679"/>
      <c r="J201" s="679"/>
      <c r="K201" s="679"/>
      <c r="L201" s="679"/>
      <c r="M201" s="679"/>
      <c r="N201" s="679"/>
      <c r="O201" s="687"/>
      <c r="P201" s="681">
        <f>SUM(P202:P204)</f>
        <v>3600000</v>
      </c>
      <c r="Q201" s="2517">
        <f>P201</f>
        <v>3600000</v>
      </c>
      <c r="R201" s="2546">
        <v>3000000</v>
      </c>
      <c r="S201" s="654">
        <f t="shared" ref="S201" si="79">Q201-R201</f>
        <v>600000</v>
      </c>
      <c r="T201" s="2518">
        <f t="shared" ref="T201" si="80">S201/R201</f>
        <v>0.2</v>
      </c>
    </row>
    <row r="202" spans="1:20" ht="15" customHeight="1">
      <c r="A202" s="617"/>
      <c r="B202" s="632"/>
      <c r="C202" s="719"/>
      <c r="D202" s="632"/>
      <c r="E202" s="3291"/>
      <c r="F202" s="1511" t="s">
        <v>1210</v>
      </c>
      <c r="G202" s="702">
        <v>2000000</v>
      </c>
      <c r="H202" s="691" t="s">
        <v>21</v>
      </c>
      <c r="I202" s="2291">
        <v>1</v>
      </c>
      <c r="J202" s="691"/>
      <c r="K202" s="691"/>
      <c r="L202" s="1512"/>
      <c r="M202" s="691"/>
      <c r="N202" s="701"/>
      <c r="O202" s="701" t="s">
        <v>22</v>
      </c>
      <c r="P202" s="693">
        <f>ROUNDUP(G202*I202,-3)</f>
        <v>2000000</v>
      </c>
      <c r="Q202" s="694"/>
      <c r="R202" s="2320"/>
      <c r="S202" s="2321"/>
      <c r="T202" s="696"/>
    </row>
    <row r="203" spans="1:20" ht="15" customHeight="1">
      <c r="A203" s="617"/>
      <c r="B203" s="632"/>
      <c r="C203" s="719"/>
      <c r="D203" s="632"/>
      <c r="E203" s="3291"/>
      <c r="F203" s="1511" t="s">
        <v>1211</v>
      </c>
      <c r="G203" s="702">
        <v>1000000</v>
      </c>
      <c r="H203" s="691" t="s">
        <v>21</v>
      </c>
      <c r="I203" s="2291">
        <v>1</v>
      </c>
      <c r="J203" s="691"/>
      <c r="K203" s="691"/>
      <c r="L203" s="1512"/>
      <c r="M203" s="691"/>
      <c r="N203" s="701"/>
      <c r="O203" s="701" t="s">
        <v>22</v>
      </c>
      <c r="P203" s="693">
        <f>ROUNDUP(G203*I203,-3)</f>
        <v>1000000</v>
      </c>
      <c r="Q203" s="694"/>
      <c r="R203" s="2320"/>
      <c r="S203" s="2321"/>
      <c r="T203" s="696"/>
    </row>
    <row r="204" spans="1:20" ht="15" customHeight="1">
      <c r="A204" s="617"/>
      <c r="B204" s="632"/>
      <c r="C204" s="719"/>
      <c r="D204" s="632"/>
      <c r="E204" s="3291"/>
      <c r="F204" s="1511" t="s">
        <v>1212</v>
      </c>
      <c r="G204" s="702">
        <v>300000</v>
      </c>
      <c r="H204" s="691" t="s">
        <v>21</v>
      </c>
      <c r="I204" s="2291">
        <v>2</v>
      </c>
      <c r="J204" s="691"/>
      <c r="K204" s="691"/>
      <c r="L204" s="1512"/>
      <c r="M204" s="691"/>
      <c r="N204" s="701"/>
      <c r="O204" s="701" t="s">
        <v>22</v>
      </c>
      <c r="P204" s="693">
        <f>ROUNDUP(G204*I204,-3)</f>
        <v>600000</v>
      </c>
      <c r="Q204" s="694"/>
      <c r="R204" s="2320"/>
      <c r="S204" s="2321"/>
      <c r="T204" s="696"/>
    </row>
    <row r="205" spans="1:20" ht="15" customHeight="1">
      <c r="A205" s="617"/>
      <c r="B205" s="632"/>
      <c r="C205" s="3634" t="s">
        <v>207</v>
      </c>
      <c r="D205" s="3635"/>
      <c r="E205" s="3635"/>
      <c r="F205" s="3635"/>
      <c r="G205" s="3635"/>
      <c r="H205" s="3635"/>
      <c r="I205" s="3635"/>
      <c r="J205" s="3635"/>
      <c r="K205" s="3635"/>
      <c r="L205" s="3635"/>
      <c r="M205" s="3635"/>
      <c r="N205" s="3635"/>
      <c r="O205" s="3635"/>
      <c r="P205" s="3636"/>
      <c r="Q205" s="631">
        <f>SUM(Q206,Q217,Q263,Q268)</f>
        <v>758334000</v>
      </c>
      <c r="R205" s="631">
        <f>SUM(R206,R217,R263,R268)</f>
        <v>684897000</v>
      </c>
      <c r="S205" s="764">
        <f>Q205-R205</f>
        <v>73437000</v>
      </c>
      <c r="T205" s="2001">
        <f t="shared" ref="T205" si="81">S205/R205</f>
        <v>0.10722342191599613</v>
      </c>
    </row>
    <row r="206" spans="1:20" ht="15" customHeight="1">
      <c r="A206" s="617"/>
      <c r="B206" s="632"/>
      <c r="C206" s="719"/>
      <c r="D206" s="2409" t="s">
        <v>37</v>
      </c>
      <c r="E206" s="3369"/>
      <c r="F206" s="2407"/>
      <c r="G206" s="2408"/>
      <c r="H206" s="2406"/>
      <c r="I206" s="2406"/>
      <c r="J206" s="2406"/>
      <c r="K206" s="2406"/>
      <c r="L206" s="2409"/>
      <c r="M206" s="2406"/>
      <c r="N206" s="2410"/>
      <c r="O206" s="2410"/>
      <c r="P206" s="2406"/>
      <c r="Q206" s="1940">
        <f>Q207</f>
        <v>187960000</v>
      </c>
      <c r="R206" s="1940">
        <f>R207</f>
        <v>171310000</v>
      </c>
      <c r="S206" s="2411">
        <f>Q206-R206</f>
        <v>16650000</v>
      </c>
      <c r="T206" s="2552">
        <f>S206/R206</f>
        <v>9.719222462203024E-2</v>
      </c>
    </row>
    <row r="207" spans="1:20" ht="15" customHeight="1">
      <c r="A207" s="617"/>
      <c r="B207" s="632"/>
      <c r="C207" s="719"/>
      <c r="D207" s="632"/>
      <c r="E207" s="3750" t="s">
        <v>432</v>
      </c>
      <c r="F207" s="3751"/>
      <c r="G207" s="3751"/>
      <c r="H207" s="3751"/>
      <c r="I207" s="3751"/>
      <c r="J207" s="3751"/>
      <c r="K207" s="3751"/>
      <c r="L207" s="3751"/>
      <c r="M207" s="3751"/>
      <c r="N207" s="3751"/>
      <c r="O207" s="3751"/>
      <c r="P207" s="3752"/>
      <c r="Q207" s="645">
        <f>+P208</f>
        <v>187960000</v>
      </c>
      <c r="R207" s="645">
        <v>171310000</v>
      </c>
      <c r="S207" s="646">
        <f>Q207-R207</f>
        <v>16650000</v>
      </c>
      <c r="T207" s="647">
        <v>0</v>
      </c>
    </row>
    <row r="208" spans="1:20" ht="15" customHeight="1">
      <c r="A208" s="617"/>
      <c r="B208" s="632"/>
      <c r="C208" s="719"/>
      <c r="D208" s="632"/>
      <c r="E208" s="3363"/>
      <c r="F208" s="1413" t="s">
        <v>1213</v>
      </c>
      <c r="G208" s="650"/>
      <c r="H208" s="649"/>
      <c r="I208" s="649"/>
      <c r="J208" s="649"/>
      <c r="K208" s="649"/>
      <c r="L208" s="1414"/>
      <c r="M208" s="649"/>
      <c r="N208" s="651"/>
      <c r="O208" s="651"/>
      <c r="P208" s="652">
        <f>SUM(P209:P216)</f>
        <v>187960000</v>
      </c>
      <c r="Q208" s="2517">
        <f>P208</f>
        <v>187960000</v>
      </c>
      <c r="R208" s="653">
        <v>171310000</v>
      </c>
      <c r="S208" s="654">
        <f t="shared" ref="S208" si="82">Q208-R208</f>
        <v>16650000</v>
      </c>
      <c r="T208" s="2518">
        <f t="shared" ref="T208" si="83">S208/R208</f>
        <v>9.719222462203024E-2</v>
      </c>
    </row>
    <row r="209" spans="1:20" ht="15" customHeight="1">
      <c r="A209" s="617"/>
      <c r="B209" s="632"/>
      <c r="C209" s="719"/>
      <c r="D209" s="632"/>
      <c r="E209" s="3364"/>
      <c r="F209" s="1415" t="s">
        <v>1214</v>
      </c>
      <c r="G209" s="2105">
        <v>1800000</v>
      </c>
      <c r="H209" s="659" t="s">
        <v>21</v>
      </c>
      <c r="I209" s="2394">
        <v>2</v>
      </c>
      <c r="J209" s="659" t="s">
        <v>21</v>
      </c>
      <c r="K209" s="2414">
        <v>12</v>
      </c>
      <c r="L209" s="1492"/>
      <c r="M209" s="1417"/>
      <c r="N209" s="1421"/>
      <c r="O209" s="664" t="s">
        <v>22</v>
      </c>
      <c r="P209" s="665">
        <f t="shared" ref="P209:P216" si="84">ROUNDUP(G209*I209*K209,-3)</f>
        <v>43200000</v>
      </c>
      <c r="Q209" s="694"/>
      <c r="R209" s="694"/>
      <c r="S209" s="695"/>
      <c r="T209" s="696"/>
    </row>
    <row r="210" spans="1:20" ht="15" customHeight="1">
      <c r="A210" s="617"/>
      <c r="B210" s="632"/>
      <c r="C210" s="719"/>
      <c r="D210" s="632"/>
      <c r="E210" s="3364"/>
      <c r="F210" s="1415" t="s">
        <v>1215</v>
      </c>
      <c r="G210" s="2105">
        <v>2000000</v>
      </c>
      <c r="H210" s="659" t="s">
        <v>21</v>
      </c>
      <c r="I210" s="2394">
        <v>1</v>
      </c>
      <c r="J210" s="659" t="s">
        <v>21</v>
      </c>
      <c r="K210" s="2414">
        <v>12</v>
      </c>
      <c r="L210" s="1492"/>
      <c r="M210" s="1417"/>
      <c r="N210" s="1421"/>
      <c r="O210" s="664" t="s">
        <v>22</v>
      </c>
      <c r="P210" s="665">
        <f t="shared" si="84"/>
        <v>24000000</v>
      </c>
      <c r="Q210" s="694"/>
      <c r="R210" s="694"/>
      <c r="S210" s="695"/>
      <c r="T210" s="696"/>
    </row>
    <row r="211" spans="1:20" ht="15" customHeight="1">
      <c r="A211" s="617"/>
      <c r="B211" s="632"/>
      <c r="C211" s="719"/>
      <c r="D211" s="632"/>
      <c r="E211" s="3364"/>
      <c r="F211" s="1415" t="s">
        <v>1216</v>
      </c>
      <c r="G211" s="2105">
        <v>400000</v>
      </c>
      <c r="H211" s="659" t="s">
        <v>21</v>
      </c>
      <c r="I211" s="2394">
        <v>1</v>
      </c>
      <c r="J211" s="659" t="s">
        <v>21</v>
      </c>
      <c r="K211" s="2414">
        <v>12</v>
      </c>
      <c r="L211" s="1492"/>
      <c r="M211" s="1417"/>
      <c r="N211" s="1421"/>
      <c r="O211" s="664" t="s">
        <v>22</v>
      </c>
      <c r="P211" s="665">
        <f t="shared" si="84"/>
        <v>4800000</v>
      </c>
      <c r="Q211" s="694"/>
      <c r="R211" s="694"/>
      <c r="S211" s="695"/>
      <c r="T211" s="696"/>
    </row>
    <row r="212" spans="1:20" ht="15" customHeight="1">
      <c r="A212" s="617"/>
      <c r="B212" s="632"/>
      <c r="C212" s="719"/>
      <c r="D212" s="632"/>
      <c r="E212" s="3364"/>
      <c r="F212" s="1423" t="s">
        <v>1217</v>
      </c>
      <c r="G212" s="2188">
        <v>2000000</v>
      </c>
      <c r="H212" s="659" t="s">
        <v>21</v>
      </c>
      <c r="I212" s="2394">
        <v>2</v>
      </c>
      <c r="J212" s="659" t="s">
        <v>21</v>
      </c>
      <c r="K212" s="2414">
        <v>12</v>
      </c>
      <c r="L212" s="1492"/>
      <c r="M212" s="1417"/>
      <c r="N212" s="1421"/>
      <c r="O212" s="664" t="s">
        <v>22</v>
      </c>
      <c r="P212" s="665">
        <f t="shared" si="84"/>
        <v>48000000</v>
      </c>
      <c r="Q212" s="694"/>
      <c r="R212" s="694"/>
      <c r="S212" s="695"/>
      <c r="T212" s="696"/>
    </row>
    <row r="213" spans="1:20" ht="15" customHeight="1">
      <c r="A213" s="617"/>
      <c r="B213" s="632"/>
      <c r="C213" s="719"/>
      <c r="D213" s="632"/>
      <c r="E213" s="3364"/>
      <c r="F213" s="1423" t="s">
        <v>1218</v>
      </c>
      <c r="G213" s="2188">
        <v>2000000</v>
      </c>
      <c r="H213" s="659" t="s">
        <v>21</v>
      </c>
      <c r="I213" s="2394">
        <v>1</v>
      </c>
      <c r="J213" s="659" t="s">
        <v>21</v>
      </c>
      <c r="K213" s="2414">
        <v>12</v>
      </c>
      <c r="L213" s="1492"/>
      <c r="M213" s="1417"/>
      <c r="N213" s="1421"/>
      <c r="O213" s="664" t="s">
        <v>22</v>
      </c>
      <c r="P213" s="665">
        <f t="shared" si="84"/>
        <v>24000000</v>
      </c>
      <c r="Q213" s="694"/>
      <c r="R213" s="694"/>
      <c r="S213" s="695"/>
      <c r="T213" s="696"/>
    </row>
    <row r="214" spans="1:20" ht="15" customHeight="1">
      <c r="A214" s="617"/>
      <c r="B214" s="632"/>
      <c r="C214" s="719"/>
      <c r="D214" s="632"/>
      <c r="E214" s="3364"/>
      <c r="F214" s="1423" t="s">
        <v>1219</v>
      </c>
      <c r="G214" s="2188">
        <v>2100000</v>
      </c>
      <c r="H214" s="659" t="s">
        <v>21</v>
      </c>
      <c r="I214" s="2394">
        <v>1</v>
      </c>
      <c r="J214" s="659" t="s">
        <v>21</v>
      </c>
      <c r="K214" s="2414">
        <v>12</v>
      </c>
      <c r="L214" s="1492"/>
      <c r="M214" s="1417"/>
      <c r="N214" s="1421"/>
      <c r="O214" s="664" t="s">
        <v>22</v>
      </c>
      <c r="P214" s="665">
        <f t="shared" si="84"/>
        <v>25200000</v>
      </c>
      <c r="Q214" s="694"/>
      <c r="R214" s="694"/>
      <c r="S214" s="695"/>
      <c r="T214" s="696"/>
    </row>
    <row r="215" spans="1:20" ht="15" customHeight="1">
      <c r="A215" s="617"/>
      <c r="B215" s="632"/>
      <c r="C215" s="719"/>
      <c r="D215" s="632"/>
      <c r="E215" s="3382"/>
      <c r="F215" s="1423" t="s">
        <v>758</v>
      </c>
      <c r="G215" s="2188">
        <v>85000</v>
      </c>
      <c r="H215" s="659" t="s">
        <v>21</v>
      </c>
      <c r="I215" s="2394">
        <v>7</v>
      </c>
      <c r="J215" s="659" t="s">
        <v>21</v>
      </c>
      <c r="K215" s="2553">
        <v>8</v>
      </c>
      <c r="L215" s="1492"/>
      <c r="M215" s="1417"/>
      <c r="N215" s="1421"/>
      <c r="O215" s="664" t="s">
        <v>22</v>
      </c>
      <c r="P215" s="665">
        <f t="shared" si="84"/>
        <v>4760000</v>
      </c>
      <c r="Q215" s="694"/>
      <c r="R215" s="694"/>
      <c r="S215" s="695"/>
      <c r="T215" s="696"/>
    </row>
    <row r="216" spans="1:20" ht="15" customHeight="1">
      <c r="A216" s="617"/>
      <c r="B216" s="632"/>
      <c r="C216" s="719"/>
      <c r="D216" s="632"/>
      <c r="E216" s="3382"/>
      <c r="F216" s="1423" t="s">
        <v>1220</v>
      </c>
      <c r="G216" s="2188">
        <v>2000000</v>
      </c>
      <c r="H216" s="659" t="s">
        <v>21</v>
      </c>
      <c r="I216" s="2394">
        <v>7</v>
      </c>
      <c r="J216" s="659" t="s">
        <v>21</v>
      </c>
      <c r="K216" s="2392">
        <v>1</v>
      </c>
      <c r="L216" s="1492"/>
      <c r="M216" s="1417"/>
      <c r="N216" s="1421"/>
      <c r="O216" s="664" t="s">
        <v>22</v>
      </c>
      <c r="P216" s="665">
        <f t="shared" si="84"/>
        <v>14000000</v>
      </c>
      <c r="Q216" s="694"/>
      <c r="R216" s="694"/>
      <c r="S216" s="695"/>
      <c r="T216" s="696"/>
    </row>
    <row r="217" spans="1:20" s="1137" customFormat="1" ht="15" customHeight="1">
      <c r="A217" s="1166"/>
      <c r="B217" s="1139"/>
      <c r="C217" s="1168"/>
      <c r="D217" s="2409" t="s">
        <v>1221</v>
      </c>
      <c r="E217" s="3369"/>
      <c r="F217" s="2407"/>
      <c r="G217" s="2408"/>
      <c r="H217" s="2406"/>
      <c r="I217" s="2406"/>
      <c r="J217" s="2406"/>
      <c r="K217" s="2406"/>
      <c r="L217" s="2409"/>
      <c r="M217" s="2406"/>
      <c r="N217" s="2410"/>
      <c r="O217" s="2410"/>
      <c r="P217" s="2406"/>
      <c r="Q217" s="1940">
        <f>Q218+Q230+Q234+Q237+Q242+Q245+Q249+Q252+Q257</f>
        <v>67498000</v>
      </c>
      <c r="R217" s="1940">
        <f>R218+R230+R234+R237+R242+R245+R249+R252+R257</f>
        <v>77437000</v>
      </c>
      <c r="S217" s="2411">
        <f>Q217-R217</f>
        <v>-9939000</v>
      </c>
      <c r="T217" s="2552">
        <f>S217/R217</f>
        <v>-0.12834949701047302</v>
      </c>
    </row>
    <row r="218" spans="1:20" ht="15" customHeight="1">
      <c r="A218" s="617"/>
      <c r="B218" s="632"/>
      <c r="C218" s="719"/>
      <c r="D218" s="632"/>
      <c r="E218" s="3750" t="s">
        <v>3049</v>
      </c>
      <c r="F218" s="3751"/>
      <c r="G218" s="3751"/>
      <c r="H218" s="3751"/>
      <c r="I218" s="3751"/>
      <c r="J218" s="3751"/>
      <c r="K218" s="3751"/>
      <c r="L218" s="3751"/>
      <c r="M218" s="3751"/>
      <c r="N218" s="3751"/>
      <c r="O218" s="3751"/>
      <c r="P218" s="3752"/>
      <c r="Q218" s="1049">
        <f>P219+P225+P227</f>
        <v>35238000</v>
      </c>
      <c r="R218" s="1049">
        <v>35137000</v>
      </c>
      <c r="S218" s="1050">
        <f>Q218-R218</f>
        <v>101000</v>
      </c>
      <c r="T218" s="1051">
        <f t="shared" ref="T218:T253" si="85">S218/R218</f>
        <v>2.8744628169735608E-3</v>
      </c>
    </row>
    <row r="219" spans="1:20" ht="15" customHeight="1">
      <c r="A219" s="617"/>
      <c r="B219" s="632"/>
      <c r="C219" s="719"/>
      <c r="D219" s="632"/>
      <c r="F219" s="1413" t="s">
        <v>56</v>
      </c>
      <c r="G219" s="649"/>
      <c r="H219" s="649"/>
      <c r="I219" s="649"/>
      <c r="J219" s="649"/>
      <c r="K219" s="649"/>
      <c r="L219" s="649"/>
      <c r="M219" s="649"/>
      <c r="N219" s="649"/>
      <c r="O219" s="649"/>
      <c r="P219" s="652">
        <f>SUM(P220:P224)</f>
        <v>16614000</v>
      </c>
      <c r="Q219" s="2517">
        <f>P219</f>
        <v>16614000</v>
      </c>
      <c r="R219" s="653">
        <v>15937000</v>
      </c>
      <c r="S219" s="654">
        <f t="shared" ref="S219" si="86">Q219-R219</f>
        <v>677000</v>
      </c>
      <c r="T219" s="2518">
        <f t="shared" si="85"/>
        <v>4.2479764071029678E-2</v>
      </c>
    </row>
    <row r="220" spans="1:20" ht="15" customHeight="1">
      <c r="A220" s="617"/>
      <c r="B220" s="632"/>
      <c r="C220" s="719"/>
      <c r="D220" s="632"/>
      <c r="E220" s="3358"/>
      <c r="F220" s="1415" t="s">
        <v>57</v>
      </c>
      <c r="G220" s="2105">
        <f>SUM(P209:P215)</f>
        <v>173960000</v>
      </c>
      <c r="H220" s="659" t="s">
        <v>21</v>
      </c>
      <c r="I220" s="3755">
        <v>4.4999999999999998E-2</v>
      </c>
      <c r="J220" s="3756"/>
      <c r="K220" s="1417"/>
      <c r="L220" s="1492"/>
      <c r="M220" s="1417"/>
      <c r="N220" s="1421"/>
      <c r="O220" s="664" t="s">
        <v>22</v>
      </c>
      <c r="P220" s="665">
        <f>ROUNDUP(G220*I220,-3)</f>
        <v>7829000</v>
      </c>
      <c r="Q220" s="694"/>
      <c r="R220" s="694"/>
      <c r="S220" s="695"/>
      <c r="T220" s="696"/>
    </row>
    <row r="221" spans="1:20" ht="15" customHeight="1">
      <c r="A221" s="617"/>
      <c r="B221" s="632"/>
      <c r="C221" s="719"/>
      <c r="D221" s="632"/>
      <c r="E221" s="3291"/>
      <c r="F221" s="1423" t="s">
        <v>58</v>
      </c>
      <c r="G221" s="2105">
        <f>G220</f>
        <v>173960000</v>
      </c>
      <c r="H221" s="659" t="s">
        <v>21</v>
      </c>
      <c r="I221" s="3755">
        <v>3.2300000000000002E-2</v>
      </c>
      <c r="J221" s="3756"/>
      <c r="K221" s="1417"/>
      <c r="L221" s="1492"/>
      <c r="M221" s="1417"/>
      <c r="N221" s="1421"/>
      <c r="O221" s="664" t="s">
        <v>22</v>
      </c>
      <c r="P221" s="665">
        <f>ROUNDUP(G221*I221,-3)</f>
        <v>5619000</v>
      </c>
      <c r="Q221" s="694"/>
      <c r="R221" s="694"/>
      <c r="S221" s="695"/>
      <c r="T221" s="696"/>
    </row>
    <row r="222" spans="1:20" ht="15" customHeight="1">
      <c r="A222" s="617"/>
      <c r="B222" s="632"/>
      <c r="C222" s="719"/>
      <c r="D222" s="632"/>
      <c r="E222" s="3291"/>
      <c r="F222" s="1423" t="s">
        <v>59</v>
      </c>
      <c r="G222" s="2105">
        <f>P221</f>
        <v>5619000</v>
      </c>
      <c r="H222" s="659" t="s">
        <v>21</v>
      </c>
      <c r="I222" s="3755">
        <v>3.6900000000000002E-2</v>
      </c>
      <c r="J222" s="3756"/>
      <c r="K222" s="1417"/>
      <c r="L222" s="1492"/>
      <c r="M222" s="1417"/>
      <c r="N222" s="1421"/>
      <c r="O222" s="664" t="s">
        <v>22</v>
      </c>
      <c r="P222" s="665">
        <f>ROUNDUP(G222*I222,-3)</f>
        <v>208000</v>
      </c>
      <c r="Q222" s="694"/>
      <c r="R222" s="694"/>
      <c r="S222" s="695"/>
      <c r="T222" s="696"/>
    </row>
    <row r="223" spans="1:20" ht="15" customHeight="1">
      <c r="A223" s="617"/>
      <c r="B223" s="632"/>
      <c r="C223" s="719"/>
      <c r="D223" s="632"/>
      <c r="E223" s="3291"/>
      <c r="F223" s="1423" t="s">
        <v>60</v>
      </c>
      <c r="G223" s="2105">
        <f>G220</f>
        <v>173960000</v>
      </c>
      <c r="H223" s="659" t="s">
        <v>21</v>
      </c>
      <c r="I223" s="3755">
        <v>8.0000000000000002E-3</v>
      </c>
      <c r="J223" s="3756"/>
      <c r="K223" s="1417"/>
      <c r="L223" s="1492"/>
      <c r="M223" s="1417"/>
      <c r="N223" s="1421"/>
      <c r="O223" s="664" t="s">
        <v>22</v>
      </c>
      <c r="P223" s="665">
        <f>ROUNDUP(G223*I223,-3)</f>
        <v>1392000</v>
      </c>
      <c r="Q223" s="694"/>
      <c r="R223" s="694"/>
      <c r="S223" s="695"/>
      <c r="T223" s="696"/>
    </row>
    <row r="224" spans="1:20" ht="15" customHeight="1">
      <c r="A224" s="617"/>
      <c r="B224" s="632"/>
      <c r="C224" s="719"/>
      <c r="D224" s="632"/>
      <c r="E224" s="3291"/>
      <c r="F224" s="1423" t="s">
        <v>61</v>
      </c>
      <c r="G224" s="2105">
        <f>G220</f>
        <v>173960000</v>
      </c>
      <c r="H224" s="659" t="s">
        <v>21</v>
      </c>
      <c r="I224" s="3755">
        <v>8.9999999999999993E-3</v>
      </c>
      <c r="J224" s="3756"/>
      <c r="K224" s="1417"/>
      <c r="L224" s="1492"/>
      <c r="M224" s="1417"/>
      <c r="N224" s="1421"/>
      <c r="O224" s="664" t="s">
        <v>22</v>
      </c>
      <c r="P224" s="665">
        <f>ROUNDUP(G224*I224,-3)</f>
        <v>1566000</v>
      </c>
      <c r="Q224" s="694"/>
      <c r="R224" s="694"/>
      <c r="S224" s="695"/>
      <c r="T224" s="696"/>
    </row>
    <row r="225" spans="1:20" ht="15" customHeight="1">
      <c r="A225" s="617"/>
      <c r="B225" s="632"/>
      <c r="C225" s="719"/>
      <c r="D225" s="632"/>
      <c r="F225" s="1507" t="s">
        <v>1222</v>
      </c>
      <c r="G225" s="679"/>
      <c r="H225" s="679"/>
      <c r="I225" s="679"/>
      <c r="J225" s="679"/>
      <c r="K225" s="679"/>
      <c r="L225" s="679"/>
      <c r="M225" s="679"/>
      <c r="N225" s="679"/>
      <c r="O225" s="679"/>
      <c r="P225" s="760">
        <f>SUM(P226:P226)</f>
        <v>4224000</v>
      </c>
      <c r="Q225" s="2517">
        <f>P225</f>
        <v>4224000</v>
      </c>
      <c r="R225" s="653">
        <v>4800000</v>
      </c>
      <c r="S225" s="654">
        <f t="shared" ref="S225" si="87">Q225-R225</f>
        <v>-576000</v>
      </c>
      <c r="T225" s="2518">
        <f t="shared" ref="T225" si="88">S225/R225</f>
        <v>-0.12</v>
      </c>
    </row>
    <row r="226" spans="1:20" ht="15" customHeight="1">
      <c r="A226" s="617"/>
      <c r="B226" s="632"/>
      <c r="C226" s="719"/>
      <c r="D226" s="632"/>
      <c r="E226" s="3291"/>
      <c r="F226" s="2242" t="s">
        <v>1223</v>
      </c>
      <c r="G226" s="658">
        <v>8000</v>
      </c>
      <c r="H226" s="662" t="s">
        <v>915</v>
      </c>
      <c r="I226" s="660">
        <v>4</v>
      </c>
      <c r="J226" s="662" t="s">
        <v>21</v>
      </c>
      <c r="K226" s="721">
        <v>11</v>
      </c>
      <c r="L226" s="662" t="s">
        <v>21</v>
      </c>
      <c r="M226" s="1571">
        <v>12</v>
      </c>
      <c r="N226" s="692"/>
      <c r="O226" s="692" t="s">
        <v>22</v>
      </c>
      <c r="P226" s="693">
        <f>ROUNDUP(G226*I226*K226*M226,-3)</f>
        <v>4224000</v>
      </c>
      <c r="Q226" s="666"/>
      <c r="R226" s="666"/>
      <c r="S226" s="667"/>
      <c r="T226" s="668"/>
    </row>
    <row r="227" spans="1:20" ht="15" customHeight="1">
      <c r="A227" s="617"/>
      <c r="B227" s="632"/>
      <c r="C227" s="719"/>
      <c r="D227" s="632"/>
      <c r="E227" s="3363"/>
      <c r="F227" s="1507" t="s">
        <v>750</v>
      </c>
      <c r="G227" s="679"/>
      <c r="H227" s="679"/>
      <c r="I227" s="679"/>
      <c r="J227" s="679"/>
      <c r="K227" s="679"/>
      <c r="L227" s="679"/>
      <c r="M227" s="679"/>
      <c r="N227" s="679"/>
      <c r="O227" s="679"/>
      <c r="P227" s="681">
        <f>SUM(P228:P229)</f>
        <v>14400000</v>
      </c>
      <c r="Q227" s="2517">
        <f>P227</f>
        <v>14400000</v>
      </c>
      <c r="R227" s="653">
        <v>14400000</v>
      </c>
      <c r="S227" s="654">
        <f t="shared" ref="S227" si="89">Q227-R227</f>
        <v>0</v>
      </c>
      <c r="T227" s="2518">
        <f t="shared" ref="T227" si="90">S227/R227</f>
        <v>0</v>
      </c>
    </row>
    <row r="228" spans="1:20" ht="15" customHeight="1">
      <c r="A228" s="617"/>
      <c r="B228" s="632"/>
      <c r="C228" s="719"/>
      <c r="D228" s="632"/>
      <c r="E228" s="3364"/>
      <c r="F228" s="1511" t="s">
        <v>751</v>
      </c>
      <c r="G228" s="1568">
        <v>400000</v>
      </c>
      <c r="H228" s="1168" t="s">
        <v>21</v>
      </c>
      <c r="I228" s="2394">
        <v>6</v>
      </c>
      <c r="J228" s="691"/>
      <c r="K228" s="691"/>
      <c r="L228" s="1512"/>
      <c r="M228" s="691"/>
      <c r="N228" s="701"/>
      <c r="O228" s="692" t="s">
        <v>22</v>
      </c>
      <c r="P228" s="693">
        <f>ROUNDUP(G228*I228,-3)</f>
        <v>2400000</v>
      </c>
      <c r="Q228" s="694"/>
      <c r="R228" s="694"/>
      <c r="S228" s="695"/>
      <c r="T228" s="696"/>
    </row>
    <row r="229" spans="1:20" ht="15" customHeight="1">
      <c r="A229" s="617"/>
      <c r="B229" s="632"/>
      <c r="C229" s="719"/>
      <c r="D229" s="632"/>
      <c r="E229" s="3364"/>
      <c r="F229" s="1511" t="s">
        <v>65</v>
      </c>
      <c r="G229" s="1568">
        <v>1000000</v>
      </c>
      <c r="H229" s="1168" t="s">
        <v>21</v>
      </c>
      <c r="I229" s="2394">
        <v>12</v>
      </c>
      <c r="J229" s="691"/>
      <c r="K229" s="691"/>
      <c r="L229" s="1512"/>
      <c r="M229" s="691"/>
      <c r="N229" s="701"/>
      <c r="O229" s="692" t="s">
        <v>22</v>
      </c>
      <c r="P229" s="693">
        <f>ROUNDUP(G229*I229,-3)</f>
        <v>12000000</v>
      </c>
      <c r="Q229" s="694"/>
      <c r="R229" s="694"/>
      <c r="S229" s="695"/>
      <c r="T229" s="696"/>
    </row>
    <row r="230" spans="1:20" ht="15" customHeight="1">
      <c r="A230" s="617"/>
      <c r="B230" s="632"/>
      <c r="C230" s="719"/>
      <c r="D230" s="632"/>
      <c r="E230" s="3750" t="s">
        <v>3050</v>
      </c>
      <c r="F230" s="3751"/>
      <c r="G230" s="3751"/>
      <c r="H230" s="3751"/>
      <c r="I230" s="3751"/>
      <c r="J230" s="3751"/>
      <c r="K230" s="3751"/>
      <c r="L230" s="3751"/>
      <c r="M230" s="3751"/>
      <c r="N230" s="3751"/>
      <c r="O230" s="3751"/>
      <c r="P230" s="3752"/>
      <c r="Q230" s="645">
        <f>+P231</f>
        <v>18040000</v>
      </c>
      <c r="R230" s="645">
        <v>18040000</v>
      </c>
      <c r="S230" s="646">
        <f>Q230-R230</f>
        <v>0</v>
      </c>
      <c r="T230" s="647">
        <f t="shared" si="85"/>
        <v>0</v>
      </c>
    </row>
    <row r="231" spans="1:20" ht="15" customHeight="1">
      <c r="A231" s="617"/>
      <c r="B231" s="632"/>
      <c r="C231" s="719"/>
      <c r="D231" s="632"/>
      <c r="F231" s="1507" t="s">
        <v>66</v>
      </c>
      <c r="G231" s="679"/>
      <c r="H231" s="679"/>
      <c r="I231" s="679"/>
      <c r="J231" s="679"/>
      <c r="K231" s="679"/>
      <c r="L231" s="679"/>
      <c r="M231" s="679"/>
      <c r="N231" s="679"/>
      <c r="O231" s="679"/>
      <c r="P231" s="681">
        <f>SUM(P232:P233)</f>
        <v>18040000</v>
      </c>
      <c r="Q231" s="2517">
        <f>P231</f>
        <v>18040000</v>
      </c>
      <c r="R231" s="653">
        <v>18040000</v>
      </c>
      <c r="S231" s="654">
        <f t="shared" ref="S231" si="91">Q231-R231</f>
        <v>0</v>
      </c>
      <c r="T231" s="2518">
        <f t="shared" si="85"/>
        <v>0</v>
      </c>
    </row>
    <row r="232" spans="1:20" ht="15" customHeight="1">
      <c r="A232" s="617"/>
      <c r="B232" s="632"/>
      <c r="C232" s="719"/>
      <c r="D232" s="632"/>
      <c r="E232" s="3358"/>
      <c r="F232" s="1511" t="s">
        <v>67</v>
      </c>
      <c r="G232" s="658">
        <v>120000</v>
      </c>
      <c r="H232" s="662" t="s">
        <v>915</v>
      </c>
      <c r="I232" s="660">
        <v>11</v>
      </c>
      <c r="J232" s="662" t="s">
        <v>21</v>
      </c>
      <c r="K232" s="663">
        <v>12</v>
      </c>
      <c r="L232" s="1512"/>
      <c r="M232" s="691"/>
      <c r="N232" s="701"/>
      <c r="O232" s="692" t="s">
        <v>22</v>
      </c>
      <c r="P232" s="693">
        <f>G232*I232*K232</f>
        <v>15840000</v>
      </c>
      <c r="Q232" s="694"/>
      <c r="R232" s="694"/>
      <c r="S232" s="695"/>
      <c r="T232" s="696"/>
    </row>
    <row r="233" spans="1:20" ht="15" customHeight="1">
      <c r="A233" s="759"/>
      <c r="B233" s="703"/>
      <c r="C233" s="619"/>
      <c r="D233" s="703"/>
      <c r="E233" s="3351"/>
      <c r="F233" s="2323" t="s">
        <v>1224</v>
      </c>
      <c r="G233" s="2309">
        <v>40000</v>
      </c>
      <c r="H233" s="2560" t="s">
        <v>915</v>
      </c>
      <c r="I233" s="2980">
        <v>5</v>
      </c>
      <c r="J233" s="2560" t="s">
        <v>21</v>
      </c>
      <c r="K233" s="3030">
        <v>11</v>
      </c>
      <c r="L233" s="1582"/>
      <c r="M233" s="709"/>
      <c r="N233" s="710"/>
      <c r="O233" s="1537" t="s">
        <v>22</v>
      </c>
      <c r="P233" s="1560">
        <f>G233*I233*K233</f>
        <v>2200000</v>
      </c>
      <c r="Q233" s="712"/>
      <c r="R233" s="712"/>
      <c r="S233" s="713"/>
      <c r="T233" s="714"/>
    </row>
    <row r="234" spans="1:20" ht="15" customHeight="1">
      <c r="A234" s="617"/>
      <c r="B234" s="632"/>
      <c r="C234" s="719"/>
      <c r="D234" s="632"/>
      <c r="E234" s="3750" t="s">
        <v>188</v>
      </c>
      <c r="F234" s="3751"/>
      <c r="G234" s="3751"/>
      <c r="H234" s="3751"/>
      <c r="I234" s="3751"/>
      <c r="J234" s="3751"/>
      <c r="K234" s="3751"/>
      <c r="L234" s="3751"/>
      <c r="M234" s="3751"/>
      <c r="N234" s="3751"/>
      <c r="O234" s="3751"/>
      <c r="P234" s="3752"/>
      <c r="Q234" s="1049">
        <f>+P235</f>
        <v>1000000</v>
      </c>
      <c r="R234" s="1049">
        <v>1000000</v>
      </c>
      <c r="S234" s="1050">
        <f>Q234-R234</f>
        <v>0</v>
      </c>
      <c r="T234" s="1051">
        <f t="shared" si="85"/>
        <v>0</v>
      </c>
    </row>
    <row r="235" spans="1:20" ht="15" customHeight="1">
      <c r="A235" s="617"/>
      <c r="B235" s="632"/>
      <c r="C235" s="719"/>
      <c r="D235" s="632"/>
      <c r="F235" s="1507" t="s">
        <v>1225</v>
      </c>
      <c r="G235" s="686"/>
      <c r="H235" s="679"/>
      <c r="I235" s="679"/>
      <c r="J235" s="679"/>
      <c r="K235" s="679"/>
      <c r="L235" s="1508"/>
      <c r="M235" s="679"/>
      <c r="N235" s="687"/>
      <c r="O235" s="687"/>
      <c r="P235" s="681">
        <f>SUM(P236:P236)</f>
        <v>1000000</v>
      </c>
      <c r="Q235" s="2517">
        <f>P235</f>
        <v>1000000</v>
      </c>
      <c r="R235" s="653">
        <v>1000000</v>
      </c>
      <c r="S235" s="654">
        <f t="shared" ref="S235" si="92">Q235-R235</f>
        <v>0</v>
      </c>
      <c r="T235" s="2518">
        <f t="shared" si="85"/>
        <v>0</v>
      </c>
    </row>
    <row r="236" spans="1:20" ht="15" customHeight="1">
      <c r="A236" s="617"/>
      <c r="B236" s="632"/>
      <c r="C236" s="719"/>
      <c r="D236" s="632"/>
      <c r="E236" s="3358"/>
      <c r="F236" s="1511" t="s">
        <v>1226</v>
      </c>
      <c r="G236" s="658">
        <v>250000</v>
      </c>
      <c r="H236" s="662" t="s">
        <v>1227</v>
      </c>
      <c r="I236" s="690">
        <v>4</v>
      </c>
      <c r="J236" s="691"/>
      <c r="K236" s="691"/>
      <c r="L236" s="1512"/>
      <c r="M236" s="691"/>
      <c r="N236" s="701"/>
      <c r="O236" s="692" t="s">
        <v>22</v>
      </c>
      <c r="P236" s="693">
        <f>ROUNDUP(G236*I236,-3)</f>
        <v>1000000</v>
      </c>
      <c r="Q236" s="694"/>
      <c r="R236" s="694"/>
      <c r="S236" s="695"/>
      <c r="T236" s="696"/>
    </row>
    <row r="237" spans="1:20" ht="15" customHeight="1">
      <c r="A237" s="617"/>
      <c r="B237" s="632"/>
      <c r="C237" s="719"/>
      <c r="D237" s="632"/>
      <c r="E237" s="3750" t="s">
        <v>3004</v>
      </c>
      <c r="F237" s="3751"/>
      <c r="G237" s="3751"/>
      <c r="H237" s="3751"/>
      <c r="I237" s="3751"/>
      <c r="J237" s="3751"/>
      <c r="K237" s="3751"/>
      <c r="L237" s="3751"/>
      <c r="M237" s="3751"/>
      <c r="N237" s="3751"/>
      <c r="O237" s="3751"/>
      <c r="P237" s="3752"/>
      <c r="Q237" s="645">
        <f>SUM(P238,P240)</f>
        <v>1200000</v>
      </c>
      <c r="R237" s="645">
        <v>1200000</v>
      </c>
      <c r="S237" s="646">
        <f>Q237-R237</f>
        <v>0</v>
      </c>
      <c r="T237" s="647">
        <f t="shared" si="85"/>
        <v>0</v>
      </c>
    </row>
    <row r="238" spans="1:20" ht="15" customHeight="1">
      <c r="A238" s="617"/>
      <c r="B238" s="632"/>
      <c r="C238" s="719"/>
      <c r="D238" s="632"/>
      <c r="E238" s="3363"/>
      <c r="F238" s="1507" t="s">
        <v>1228</v>
      </c>
      <c r="G238" s="679"/>
      <c r="H238" s="679"/>
      <c r="I238" s="679"/>
      <c r="J238" s="679"/>
      <c r="K238" s="679"/>
      <c r="L238" s="679"/>
      <c r="M238" s="679"/>
      <c r="N238" s="679"/>
      <c r="O238" s="679"/>
      <c r="P238" s="681">
        <f>SUM(P239:P239)</f>
        <v>600000</v>
      </c>
      <c r="Q238" s="2517">
        <f>P238</f>
        <v>600000</v>
      </c>
      <c r="R238" s="653">
        <v>600000</v>
      </c>
      <c r="S238" s="654">
        <f t="shared" ref="S238" si="93">Q238-R238</f>
        <v>0</v>
      </c>
      <c r="T238" s="2518">
        <f t="shared" si="85"/>
        <v>0</v>
      </c>
    </row>
    <row r="239" spans="1:20" ht="15" customHeight="1">
      <c r="A239" s="617"/>
      <c r="B239" s="632"/>
      <c r="C239" s="719"/>
      <c r="D239" s="632"/>
      <c r="E239" s="3364"/>
      <c r="F239" s="1511" t="s">
        <v>1229</v>
      </c>
      <c r="G239" s="658">
        <v>50000</v>
      </c>
      <c r="H239" s="662" t="s">
        <v>1230</v>
      </c>
      <c r="I239" s="663">
        <v>12</v>
      </c>
      <c r="J239" s="691"/>
      <c r="K239" s="691"/>
      <c r="L239" s="1512"/>
      <c r="M239" s="691"/>
      <c r="N239" s="701"/>
      <c r="O239" s="692" t="s">
        <v>22</v>
      </c>
      <c r="P239" s="693">
        <f>ROUNDUP(G239*I239,-3)</f>
        <v>600000</v>
      </c>
      <c r="Q239" s="694"/>
      <c r="R239" s="694"/>
      <c r="S239" s="695"/>
      <c r="T239" s="696"/>
    </row>
    <row r="240" spans="1:20" ht="15" customHeight="1">
      <c r="A240" s="617"/>
      <c r="B240" s="632"/>
      <c r="C240" s="719"/>
      <c r="D240" s="632"/>
      <c r="F240" s="1507" t="s">
        <v>755</v>
      </c>
      <c r="G240" s="679"/>
      <c r="H240" s="679"/>
      <c r="I240" s="679"/>
      <c r="J240" s="679"/>
      <c r="K240" s="679"/>
      <c r="L240" s="679"/>
      <c r="M240" s="679"/>
      <c r="N240" s="679"/>
      <c r="O240" s="679"/>
      <c r="P240" s="681">
        <f>SUM(P241:P241)</f>
        <v>600000</v>
      </c>
      <c r="Q240" s="2517">
        <f>P240</f>
        <v>600000</v>
      </c>
      <c r="R240" s="653">
        <v>600000</v>
      </c>
      <c r="S240" s="654">
        <f t="shared" ref="S240" si="94">Q240-R240</f>
        <v>0</v>
      </c>
      <c r="T240" s="2518">
        <f t="shared" ref="T240" si="95">S240/R240</f>
        <v>0</v>
      </c>
    </row>
    <row r="241" spans="1:20" ht="15" customHeight="1">
      <c r="A241" s="617"/>
      <c r="B241" s="632"/>
      <c r="C241" s="719"/>
      <c r="D241" s="632"/>
      <c r="E241" s="3358"/>
      <c r="F241" s="1511" t="s">
        <v>756</v>
      </c>
      <c r="G241" s="658">
        <v>50000</v>
      </c>
      <c r="H241" s="662" t="s">
        <v>915</v>
      </c>
      <c r="I241" s="663">
        <v>12</v>
      </c>
      <c r="J241" s="691"/>
      <c r="K241" s="691"/>
      <c r="L241" s="1512"/>
      <c r="M241" s="691"/>
      <c r="N241" s="701"/>
      <c r="O241" s="692" t="s">
        <v>22</v>
      </c>
      <c r="P241" s="693">
        <f>ROUNDUP(G241*I241,-3)</f>
        <v>600000</v>
      </c>
      <c r="Q241" s="694"/>
      <c r="R241" s="694"/>
      <c r="S241" s="695"/>
      <c r="T241" s="696"/>
    </row>
    <row r="242" spans="1:20" ht="15" customHeight="1">
      <c r="A242" s="617"/>
      <c r="B242" s="632"/>
      <c r="C242" s="719"/>
      <c r="D242" s="632"/>
      <c r="E242" s="3750" t="s">
        <v>218</v>
      </c>
      <c r="F242" s="3751"/>
      <c r="G242" s="3751"/>
      <c r="H242" s="3751"/>
      <c r="I242" s="3751"/>
      <c r="J242" s="3751"/>
      <c r="K242" s="3751"/>
      <c r="L242" s="3751"/>
      <c r="M242" s="3751"/>
      <c r="N242" s="3751"/>
      <c r="O242" s="3751"/>
      <c r="P242" s="3752"/>
      <c r="Q242" s="645">
        <f>P243</f>
        <v>560000</v>
      </c>
      <c r="R242" s="645">
        <v>880000</v>
      </c>
      <c r="S242" s="646">
        <f>Q242-R242</f>
        <v>-320000</v>
      </c>
      <c r="T242" s="647">
        <f t="shared" si="85"/>
        <v>-0.36363636363636365</v>
      </c>
    </row>
    <row r="243" spans="1:20" ht="15" customHeight="1">
      <c r="A243" s="617"/>
      <c r="B243" s="632"/>
      <c r="C243" s="719"/>
      <c r="D243" s="632"/>
      <c r="E243" s="3359"/>
      <c r="F243" s="2529" t="s">
        <v>1231</v>
      </c>
      <c r="G243" s="677"/>
      <c r="H243" s="672"/>
      <c r="I243" s="672"/>
      <c r="J243" s="672"/>
      <c r="K243" s="672"/>
      <c r="L243" s="2555"/>
      <c r="M243" s="672"/>
      <c r="N243" s="680"/>
      <c r="O243" s="680"/>
      <c r="P243" s="760">
        <f>SUM(P244:P244)</f>
        <v>560000</v>
      </c>
      <c r="Q243" s="2517">
        <f>P243</f>
        <v>560000</v>
      </c>
      <c r="R243" s="653">
        <v>880000</v>
      </c>
      <c r="S243" s="654">
        <f t="shared" ref="S243" si="96">Q243-R243</f>
        <v>-320000</v>
      </c>
      <c r="T243" s="2518">
        <f t="shared" si="85"/>
        <v>-0.36363636363636365</v>
      </c>
    </row>
    <row r="244" spans="1:20" ht="15" customHeight="1">
      <c r="A244" s="617"/>
      <c r="B244" s="632"/>
      <c r="C244" s="719"/>
      <c r="D244" s="632"/>
      <c r="E244" s="3383"/>
      <c r="F244" s="2231" t="s">
        <v>1232</v>
      </c>
      <c r="G244" s="698">
        <v>80000</v>
      </c>
      <c r="H244" s="699" t="s">
        <v>912</v>
      </c>
      <c r="I244" s="2235">
        <v>7</v>
      </c>
      <c r="J244" s="699"/>
      <c r="K244" s="2239"/>
      <c r="L244" s="2240"/>
      <c r="M244" s="2239"/>
      <c r="N244" s="728"/>
      <c r="O244" s="728" t="s">
        <v>913</v>
      </c>
      <c r="P244" s="2241">
        <f>ROUNDUP(G244*I244,-3)</f>
        <v>560000</v>
      </c>
      <c r="Q244" s="2331"/>
      <c r="R244" s="2331"/>
      <c r="S244" s="2333"/>
      <c r="T244" s="2556"/>
    </row>
    <row r="245" spans="1:20" ht="15" customHeight="1">
      <c r="A245" s="617"/>
      <c r="B245" s="632"/>
      <c r="C245" s="719"/>
      <c r="D245" s="632"/>
      <c r="E245" s="3750" t="s">
        <v>191</v>
      </c>
      <c r="F245" s="3751"/>
      <c r="G245" s="3751"/>
      <c r="H245" s="3751"/>
      <c r="I245" s="3751"/>
      <c r="J245" s="3751"/>
      <c r="K245" s="3751"/>
      <c r="L245" s="3751"/>
      <c r="M245" s="3751"/>
      <c r="N245" s="3751"/>
      <c r="O245" s="3751"/>
      <c r="P245" s="3752"/>
      <c r="Q245" s="645">
        <f>+P246</f>
        <v>3100000</v>
      </c>
      <c r="R245" s="645">
        <v>2600000</v>
      </c>
      <c r="S245" s="646">
        <f>Q245-R245</f>
        <v>500000</v>
      </c>
      <c r="T245" s="647">
        <f t="shared" si="85"/>
        <v>0.19230769230769232</v>
      </c>
    </row>
    <row r="246" spans="1:20" ht="15" customHeight="1">
      <c r="A246" s="617"/>
      <c r="B246" s="632"/>
      <c r="C246" s="719"/>
      <c r="D246" s="632"/>
      <c r="E246" s="3377"/>
      <c r="F246" s="1507" t="s">
        <v>88</v>
      </c>
      <c r="G246" s="679"/>
      <c r="H246" s="679"/>
      <c r="I246" s="679"/>
      <c r="J246" s="679"/>
      <c r="K246" s="679"/>
      <c r="L246" s="679"/>
      <c r="M246" s="679"/>
      <c r="N246" s="679"/>
      <c r="O246" s="679"/>
      <c r="P246" s="681">
        <f>SUM(P247:P248)</f>
        <v>3100000</v>
      </c>
      <c r="Q246" s="2517">
        <f>P246</f>
        <v>3100000</v>
      </c>
      <c r="R246" s="653">
        <v>2600000</v>
      </c>
      <c r="S246" s="654">
        <f t="shared" ref="S246" si="97">Q246-R246</f>
        <v>500000</v>
      </c>
      <c r="T246" s="2518">
        <f t="shared" si="85"/>
        <v>0.19230769230769232</v>
      </c>
    </row>
    <row r="247" spans="1:20" ht="15" customHeight="1">
      <c r="A247" s="617"/>
      <c r="B247" s="632"/>
      <c r="C247" s="719"/>
      <c r="D247" s="632"/>
      <c r="E247" s="1143"/>
      <c r="F247" s="1511" t="s">
        <v>1233</v>
      </c>
      <c r="G247" s="658">
        <v>150000</v>
      </c>
      <c r="H247" s="662" t="s">
        <v>922</v>
      </c>
      <c r="I247" s="690">
        <v>4</v>
      </c>
      <c r="J247" s="691"/>
      <c r="K247" s="691"/>
      <c r="L247" s="1512"/>
      <c r="M247" s="691"/>
      <c r="N247" s="701"/>
      <c r="O247" s="692" t="s">
        <v>22</v>
      </c>
      <c r="P247" s="693">
        <f>ROUNDUP(G247*I247,-3)</f>
        <v>600000</v>
      </c>
      <c r="Q247" s="694"/>
      <c r="R247" s="694"/>
      <c r="S247" s="695"/>
      <c r="T247" s="696"/>
    </row>
    <row r="248" spans="1:20" ht="15" customHeight="1">
      <c r="A248" s="617"/>
      <c r="B248" s="632"/>
      <c r="C248" s="719"/>
      <c r="D248" s="632"/>
      <c r="E248" s="1143"/>
      <c r="F248" s="1285" t="s">
        <v>752</v>
      </c>
      <c r="G248" s="2305">
        <v>31250</v>
      </c>
      <c r="H248" s="2277" t="s">
        <v>2946</v>
      </c>
      <c r="I248" s="2557">
        <v>80</v>
      </c>
      <c r="J248" s="1279"/>
      <c r="K248" s="1279"/>
      <c r="L248" s="1356"/>
      <c r="M248" s="1279"/>
      <c r="N248" s="1283"/>
      <c r="O248" s="2558" t="s">
        <v>22</v>
      </c>
      <c r="P248" s="2559">
        <f>ROUNDUP(G248*I248,-3)</f>
        <v>2500000</v>
      </c>
      <c r="Q248" s="694"/>
      <c r="R248" s="694"/>
      <c r="S248" s="695"/>
      <c r="T248" s="696"/>
    </row>
    <row r="249" spans="1:20" ht="15" customHeight="1">
      <c r="A249" s="617"/>
      <c r="B249" s="632"/>
      <c r="C249" s="719"/>
      <c r="D249" s="632"/>
      <c r="E249" s="3750" t="s">
        <v>3051</v>
      </c>
      <c r="F249" s="3751"/>
      <c r="G249" s="3751"/>
      <c r="H249" s="3751"/>
      <c r="I249" s="3751"/>
      <c r="J249" s="3751"/>
      <c r="K249" s="3751"/>
      <c r="L249" s="3751"/>
      <c r="M249" s="3751"/>
      <c r="N249" s="3751"/>
      <c r="O249" s="3751"/>
      <c r="P249" s="3752"/>
      <c r="Q249" s="645">
        <f>P250</f>
        <v>1200000</v>
      </c>
      <c r="R249" s="645">
        <v>8400000</v>
      </c>
      <c r="S249" s="646">
        <f>Q249-R249</f>
        <v>-7200000</v>
      </c>
      <c r="T249" s="647">
        <f t="shared" si="85"/>
        <v>-0.8571428571428571</v>
      </c>
    </row>
    <row r="250" spans="1:20" ht="15" customHeight="1">
      <c r="A250" s="617"/>
      <c r="B250" s="632"/>
      <c r="C250" s="719"/>
      <c r="D250" s="632"/>
      <c r="E250" s="3384"/>
      <c r="F250" s="1507" t="s">
        <v>1234</v>
      </c>
      <c r="G250" s="679"/>
      <c r="H250" s="679"/>
      <c r="I250" s="679"/>
      <c r="J250" s="679"/>
      <c r="K250" s="679"/>
      <c r="L250" s="679"/>
      <c r="M250" s="679"/>
      <c r="N250" s="679"/>
      <c r="O250" s="679"/>
      <c r="P250" s="760">
        <f>SUM(P251)</f>
        <v>1200000</v>
      </c>
      <c r="Q250" s="2517">
        <f>P250</f>
        <v>1200000</v>
      </c>
      <c r="R250" s="653">
        <v>8400000</v>
      </c>
      <c r="S250" s="654">
        <f t="shared" ref="S250" si="98">Q250-R250</f>
        <v>-7200000</v>
      </c>
      <c r="T250" s="2518">
        <f t="shared" si="85"/>
        <v>-0.8571428571428571</v>
      </c>
    </row>
    <row r="251" spans="1:20" ht="15" customHeight="1">
      <c r="A251" s="617"/>
      <c r="B251" s="632"/>
      <c r="C251" s="719"/>
      <c r="D251" s="632"/>
      <c r="E251" s="3313"/>
      <c r="F251" s="1531" t="s">
        <v>1235</v>
      </c>
      <c r="G251" s="2309">
        <v>100000</v>
      </c>
      <c r="H251" s="2560" t="s">
        <v>1236</v>
      </c>
      <c r="I251" s="2561">
        <v>12</v>
      </c>
      <c r="J251" s="2560"/>
      <c r="K251" s="2561"/>
      <c r="L251" s="1559"/>
      <c r="M251" s="1136"/>
      <c r="N251" s="1537"/>
      <c r="O251" s="1537" t="s">
        <v>22</v>
      </c>
      <c r="P251" s="1560">
        <f>ROUNDUP(G251*I251,-3)</f>
        <v>1200000</v>
      </c>
      <c r="Q251" s="1561"/>
      <c r="R251" s="1561"/>
      <c r="S251" s="1562"/>
      <c r="T251" s="1563"/>
    </row>
    <row r="252" spans="1:20" ht="15" customHeight="1">
      <c r="A252" s="617"/>
      <c r="B252" s="632"/>
      <c r="C252" s="719"/>
      <c r="D252" s="632"/>
      <c r="E252" s="3750" t="s">
        <v>222</v>
      </c>
      <c r="F252" s="3751"/>
      <c r="G252" s="3751"/>
      <c r="H252" s="3751"/>
      <c r="I252" s="3751"/>
      <c r="J252" s="3751"/>
      <c r="K252" s="3751"/>
      <c r="L252" s="3751"/>
      <c r="M252" s="3751"/>
      <c r="N252" s="3751"/>
      <c r="O252" s="3751"/>
      <c r="P252" s="3752"/>
      <c r="Q252" s="1049">
        <f>P253+P255</f>
        <v>2860000</v>
      </c>
      <c r="R252" s="1049">
        <v>3880000</v>
      </c>
      <c r="S252" s="1050">
        <f>Q252-R252</f>
        <v>-1020000</v>
      </c>
      <c r="T252" s="1051">
        <f t="shared" si="85"/>
        <v>-0.26288659793814434</v>
      </c>
    </row>
    <row r="253" spans="1:20" ht="15" customHeight="1">
      <c r="A253" s="617"/>
      <c r="B253" s="632"/>
      <c r="C253" s="719"/>
      <c r="D253" s="632"/>
      <c r="E253" s="3377"/>
      <c r="F253" s="1507" t="s">
        <v>1237</v>
      </c>
      <c r="G253" s="679"/>
      <c r="H253" s="679"/>
      <c r="I253" s="679"/>
      <c r="J253" s="679"/>
      <c r="K253" s="679"/>
      <c r="L253" s="679"/>
      <c r="M253" s="679"/>
      <c r="N253" s="679"/>
      <c r="O253" s="679"/>
      <c r="P253" s="681">
        <f>SUM(P254:P254)</f>
        <v>1980000</v>
      </c>
      <c r="Q253" s="2517">
        <f>P253</f>
        <v>1980000</v>
      </c>
      <c r="R253" s="653">
        <v>3000000</v>
      </c>
      <c r="S253" s="654">
        <f t="shared" ref="S253" si="99">Q253-R253</f>
        <v>-1020000</v>
      </c>
      <c r="T253" s="2518">
        <f t="shared" si="85"/>
        <v>-0.34</v>
      </c>
    </row>
    <row r="254" spans="1:20" ht="15" customHeight="1">
      <c r="A254" s="617"/>
      <c r="B254" s="632"/>
      <c r="C254" s="719"/>
      <c r="D254" s="632"/>
      <c r="E254" s="1143"/>
      <c r="F254" s="1511" t="s">
        <v>2952</v>
      </c>
      <c r="G254" s="1568">
        <v>165000</v>
      </c>
      <c r="H254" s="1168" t="s">
        <v>21</v>
      </c>
      <c r="I254" s="1571">
        <v>12</v>
      </c>
      <c r="J254" s="1168"/>
      <c r="K254" s="1571"/>
      <c r="L254" s="1554"/>
      <c r="M254" s="1168"/>
      <c r="N254" s="692"/>
      <c r="O254" s="692" t="s">
        <v>22</v>
      </c>
      <c r="P254" s="693">
        <f>ROUNDUP(G254*I254,-3)</f>
        <v>1980000</v>
      </c>
      <c r="Q254" s="666"/>
      <c r="R254" s="666"/>
      <c r="S254" s="667"/>
      <c r="T254" s="668"/>
    </row>
    <row r="255" spans="1:20" ht="15" customHeight="1">
      <c r="A255" s="617"/>
      <c r="B255" s="632"/>
      <c r="C255" s="719"/>
      <c r="D255" s="632"/>
      <c r="E255" s="3377"/>
      <c r="F255" s="1507" t="s">
        <v>1238</v>
      </c>
      <c r="G255" s="679"/>
      <c r="H255" s="679"/>
      <c r="I255" s="679"/>
      <c r="J255" s="679"/>
      <c r="K255" s="679"/>
      <c r="L255" s="679"/>
      <c r="M255" s="679"/>
      <c r="N255" s="679"/>
      <c r="O255" s="679"/>
      <c r="P255" s="681">
        <f>SUM(P256)</f>
        <v>880000</v>
      </c>
      <c r="Q255" s="2517">
        <f>P255</f>
        <v>880000</v>
      </c>
      <c r="R255" s="653">
        <v>880000</v>
      </c>
      <c r="S255" s="654">
        <f t="shared" ref="S255" si="100">Q255-R255</f>
        <v>0</v>
      </c>
      <c r="T255" s="2518">
        <f t="shared" ref="T255" si="101">S255/R255</f>
        <v>0</v>
      </c>
    </row>
    <row r="256" spans="1:20" ht="15" customHeight="1">
      <c r="A256" s="617"/>
      <c r="B256" s="632"/>
      <c r="C256" s="719"/>
      <c r="D256" s="632"/>
      <c r="E256" s="1143"/>
      <c r="F256" s="1511" t="s">
        <v>1239</v>
      </c>
      <c r="G256" s="1552">
        <v>80000</v>
      </c>
      <c r="H256" s="1168" t="s">
        <v>21</v>
      </c>
      <c r="I256" s="2361">
        <v>11</v>
      </c>
      <c r="J256" s="691"/>
      <c r="K256" s="691"/>
      <c r="L256" s="1512"/>
      <c r="M256" s="691"/>
      <c r="N256" s="701"/>
      <c r="O256" s="692" t="s">
        <v>22</v>
      </c>
      <c r="P256" s="693">
        <f>ROUNDUP(G256*I256,-3)</f>
        <v>880000</v>
      </c>
      <c r="Q256" s="694"/>
      <c r="R256" s="694"/>
      <c r="S256" s="695"/>
      <c r="T256" s="696"/>
    </row>
    <row r="257" spans="1:20" ht="15" customHeight="1">
      <c r="A257" s="617"/>
      <c r="B257" s="632"/>
      <c r="C257" s="719"/>
      <c r="D257" s="632"/>
      <c r="E257" s="3750" t="s">
        <v>3052</v>
      </c>
      <c r="F257" s="3751"/>
      <c r="G257" s="3751"/>
      <c r="H257" s="3751"/>
      <c r="I257" s="3751"/>
      <c r="J257" s="3751"/>
      <c r="K257" s="3751"/>
      <c r="L257" s="3751"/>
      <c r="M257" s="3751"/>
      <c r="N257" s="3751"/>
      <c r="O257" s="3751"/>
      <c r="P257" s="3752"/>
      <c r="Q257" s="645">
        <f>SUM(P258,P260)</f>
        <v>4300000</v>
      </c>
      <c r="R257" s="645">
        <v>6300000</v>
      </c>
      <c r="S257" s="646">
        <f>Q257-R257</f>
        <v>-2000000</v>
      </c>
      <c r="T257" s="647">
        <f t="shared" ref="T257:T265" si="102">S257/R257</f>
        <v>-0.31746031746031744</v>
      </c>
    </row>
    <row r="258" spans="1:20" ht="15" customHeight="1">
      <c r="A258" s="617"/>
      <c r="B258" s="632"/>
      <c r="C258" s="719"/>
      <c r="D258" s="632"/>
      <c r="E258" s="3377"/>
      <c r="F258" s="2529" t="s">
        <v>1240</v>
      </c>
      <c r="G258" s="679"/>
      <c r="H258" s="679"/>
      <c r="I258" s="679"/>
      <c r="J258" s="679"/>
      <c r="K258" s="679"/>
      <c r="L258" s="679"/>
      <c r="M258" s="679"/>
      <c r="N258" s="679"/>
      <c r="O258" s="679"/>
      <c r="P258" s="681">
        <f>SUM(P259:P259)</f>
        <v>3300000</v>
      </c>
      <c r="Q258" s="2517">
        <f>P258</f>
        <v>3300000</v>
      </c>
      <c r="R258" s="653">
        <v>3300000</v>
      </c>
      <c r="S258" s="654">
        <f t="shared" ref="S258" si="103">Q258-R258</f>
        <v>0</v>
      </c>
      <c r="T258" s="2518">
        <f t="shared" si="102"/>
        <v>0</v>
      </c>
    </row>
    <row r="259" spans="1:20" ht="15" customHeight="1">
      <c r="A259" s="617"/>
      <c r="B259" s="632"/>
      <c r="C259" s="719"/>
      <c r="D259" s="632"/>
      <c r="E259" s="1143"/>
      <c r="F259" s="2231" t="s">
        <v>1241</v>
      </c>
      <c r="G259" s="658">
        <v>300000</v>
      </c>
      <c r="H259" s="662" t="s">
        <v>1242</v>
      </c>
      <c r="I259" s="660">
        <v>11</v>
      </c>
      <c r="J259" s="691"/>
      <c r="K259" s="691"/>
      <c r="L259" s="1512"/>
      <c r="M259" s="691"/>
      <c r="N259" s="701"/>
      <c r="O259" s="692" t="s">
        <v>22</v>
      </c>
      <c r="P259" s="693">
        <f>ROUNDUP(G259*I259,-3)</f>
        <v>3300000</v>
      </c>
      <c r="Q259" s="694"/>
      <c r="R259" s="694"/>
      <c r="S259" s="695"/>
      <c r="T259" s="696"/>
    </row>
    <row r="260" spans="1:20" ht="15" customHeight="1">
      <c r="A260" s="617"/>
      <c r="B260" s="632"/>
      <c r="C260" s="719"/>
      <c r="D260" s="632"/>
      <c r="E260" s="3377"/>
      <c r="F260" s="2529" t="s">
        <v>1243</v>
      </c>
      <c r="G260" s="679"/>
      <c r="H260" s="679"/>
      <c r="I260" s="679"/>
      <c r="J260" s="679"/>
      <c r="K260" s="679"/>
      <c r="L260" s="679"/>
      <c r="M260" s="679"/>
      <c r="N260" s="679"/>
      <c r="O260" s="679"/>
      <c r="P260" s="681">
        <f>SUM(P261:P262)</f>
        <v>1000000</v>
      </c>
      <c r="Q260" s="2517">
        <f>P260</f>
        <v>1000000</v>
      </c>
      <c r="R260" s="653">
        <v>3000000</v>
      </c>
      <c r="S260" s="654">
        <f t="shared" ref="S260" si="104">Q260-R260</f>
        <v>-2000000</v>
      </c>
      <c r="T260" s="2518">
        <f t="shared" ref="T260" si="105">S260/R260</f>
        <v>-0.66666666666666663</v>
      </c>
    </row>
    <row r="261" spans="1:20" ht="15" customHeight="1">
      <c r="A261" s="617"/>
      <c r="B261" s="632"/>
      <c r="C261" s="719"/>
      <c r="D261" s="632"/>
      <c r="E261" s="1143"/>
      <c r="F261" s="2231" t="s">
        <v>2358</v>
      </c>
      <c r="G261" s="658">
        <v>500000</v>
      </c>
      <c r="H261" s="662" t="s">
        <v>2359</v>
      </c>
      <c r="I261" s="690">
        <v>1</v>
      </c>
      <c r="J261" s="1168"/>
      <c r="K261" s="1168"/>
      <c r="L261" s="1554"/>
      <c r="M261" s="1168"/>
      <c r="N261" s="692"/>
      <c r="O261" s="692" t="s">
        <v>22</v>
      </c>
      <c r="P261" s="693">
        <f>ROUNDUP(G261*I261,-3)</f>
        <v>500000</v>
      </c>
      <c r="Q261" s="666"/>
      <c r="R261" s="666"/>
      <c r="S261" s="667"/>
      <c r="T261" s="668"/>
    </row>
    <row r="262" spans="1:20" ht="15" customHeight="1">
      <c r="A262" s="617"/>
      <c r="B262" s="632"/>
      <c r="C262" s="719"/>
      <c r="D262" s="632"/>
      <c r="E262" s="1143"/>
      <c r="F262" s="2231" t="s">
        <v>2360</v>
      </c>
      <c r="G262" s="658">
        <v>500000</v>
      </c>
      <c r="H262" s="662" t="s">
        <v>2359</v>
      </c>
      <c r="I262" s="690">
        <v>1</v>
      </c>
      <c r="J262" s="1168"/>
      <c r="K262" s="1168"/>
      <c r="L262" s="1554"/>
      <c r="M262" s="1168"/>
      <c r="N262" s="692"/>
      <c r="O262" s="692" t="s">
        <v>22</v>
      </c>
      <c r="P262" s="693">
        <f>ROUNDUP(G262*I262,-3)</f>
        <v>500000</v>
      </c>
      <c r="Q262" s="666"/>
      <c r="R262" s="2530"/>
      <c r="S262" s="667"/>
      <c r="T262" s="668"/>
    </row>
    <row r="263" spans="1:20" s="1137" customFormat="1" ht="15" customHeight="1">
      <c r="A263" s="1166"/>
      <c r="B263" s="1139"/>
      <c r="C263" s="1168"/>
      <c r="D263" s="1934" t="s">
        <v>1244</v>
      </c>
      <c r="E263" s="3344"/>
      <c r="F263" s="1935"/>
      <c r="G263" s="1936"/>
      <c r="H263" s="1937"/>
      <c r="I263" s="1937"/>
      <c r="J263" s="1937"/>
      <c r="K263" s="1937"/>
      <c r="L263" s="1938"/>
      <c r="M263" s="1937"/>
      <c r="N263" s="1939"/>
      <c r="O263" s="1939"/>
      <c r="P263" s="1937"/>
      <c r="Q263" s="1940">
        <f>Q264</f>
        <v>5000000</v>
      </c>
      <c r="R263" s="1941">
        <f>R264</f>
        <v>3200000</v>
      </c>
      <c r="S263" s="1942">
        <f>Q263-R263</f>
        <v>1800000</v>
      </c>
      <c r="T263" s="1943">
        <f>S263/R263</f>
        <v>0.5625</v>
      </c>
    </row>
    <row r="264" spans="1:20" ht="15" customHeight="1">
      <c r="A264" s="617"/>
      <c r="B264" s="632"/>
      <c r="C264" s="719"/>
      <c r="D264" s="632"/>
      <c r="E264" s="3750" t="s">
        <v>3019</v>
      </c>
      <c r="F264" s="3751"/>
      <c r="G264" s="3751"/>
      <c r="H264" s="3751"/>
      <c r="I264" s="3751"/>
      <c r="J264" s="3751"/>
      <c r="K264" s="3751"/>
      <c r="L264" s="3751"/>
      <c r="M264" s="3751"/>
      <c r="N264" s="3751"/>
      <c r="O264" s="3751"/>
      <c r="P264" s="3752"/>
      <c r="Q264" s="645">
        <f>+P265</f>
        <v>5000000</v>
      </c>
      <c r="R264" s="645">
        <v>3200000</v>
      </c>
      <c r="S264" s="646">
        <f>Q264-R264</f>
        <v>1800000</v>
      </c>
      <c r="T264" s="647">
        <f t="shared" si="102"/>
        <v>0.5625</v>
      </c>
    </row>
    <row r="265" spans="1:20" ht="15" customHeight="1">
      <c r="A265" s="617"/>
      <c r="B265" s="632"/>
      <c r="C265" s="719"/>
      <c r="D265" s="632"/>
      <c r="F265" s="1507" t="s">
        <v>320</v>
      </c>
      <c r="G265" s="679"/>
      <c r="H265" s="679"/>
      <c r="I265" s="679"/>
      <c r="J265" s="679"/>
      <c r="K265" s="679"/>
      <c r="L265" s="679"/>
      <c r="M265" s="679"/>
      <c r="N265" s="679"/>
      <c r="O265" s="679"/>
      <c r="P265" s="681">
        <f>SUM(P266:P267)</f>
        <v>5000000</v>
      </c>
      <c r="Q265" s="2517">
        <f>P265</f>
        <v>5000000</v>
      </c>
      <c r="R265" s="653">
        <v>3200000</v>
      </c>
      <c r="S265" s="654">
        <f t="shared" ref="S265" si="106">Q265-R265</f>
        <v>1800000</v>
      </c>
      <c r="T265" s="2518">
        <f t="shared" si="102"/>
        <v>0.5625</v>
      </c>
    </row>
    <row r="266" spans="1:20" ht="15" customHeight="1">
      <c r="A266" s="617"/>
      <c r="B266" s="632"/>
      <c r="C266" s="719"/>
      <c r="D266" s="632"/>
      <c r="E266" s="3358"/>
      <c r="F266" s="1423" t="s">
        <v>2914</v>
      </c>
      <c r="G266" s="1568">
        <v>600000</v>
      </c>
      <c r="H266" s="1168" t="s">
        <v>21</v>
      </c>
      <c r="I266" s="2540">
        <v>5</v>
      </c>
      <c r="J266" s="691"/>
      <c r="K266" s="691"/>
      <c r="L266" s="1512"/>
      <c r="M266" s="691"/>
      <c r="N266" s="701"/>
      <c r="O266" s="692" t="s">
        <v>22</v>
      </c>
      <c r="P266" s="693">
        <f>ROUNDUP(G266*I266,-3)</f>
        <v>3000000</v>
      </c>
      <c r="Q266" s="694"/>
      <c r="R266" s="694"/>
      <c r="S266" s="695"/>
      <c r="T266" s="696"/>
    </row>
    <row r="267" spans="1:20" ht="15" customHeight="1">
      <c r="A267" s="617"/>
      <c r="B267" s="632"/>
      <c r="C267" s="719"/>
      <c r="D267" s="632"/>
      <c r="E267" s="3358"/>
      <c r="F267" s="1423" t="s">
        <v>2915</v>
      </c>
      <c r="G267" s="1568">
        <v>2000000</v>
      </c>
      <c r="H267" s="1168" t="s">
        <v>21</v>
      </c>
      <c r="I267" s="2540">
        <v>1</v>
      </c>
      <c r="J267" s="691"/>
      <c r="K267" s="691"/>
      <c r="L267" s="1512"/>
      <c r="M267" s="691"/>
      <c r="N267" s="701"/>
      <c r="O267" s="692" t="s">
        <v>22</v>
      </c>
      <c r="P267" s="693">
        <f>ROUNDUP(G267*I267,-3)</f>
        <v>2000000</v>
      </c>
      <c r="Q267" s="694"/>
      <c r="R267" s="694"/>
      <c r="S267" s="695"/>
      <c r="T267" s="696"/>
    </row>
    <row r="268" spans="1:20" s="1137" customFormat="1" ht="15" customHeight="1">
      <c r="A268" s="1166"/>
      <c r="B268" s="1139"/>
      <c r="C268" s="1168"/>
      <c r="D268" s="1144" t="s">
        <v>1245</v>
      </c>
      <c r="E268" s="3296"/>
      <c r="F268" s="1373"/>
      <c r="G268" s="1146"/>
      <c r="H268" s="1145"/>
      <c r="I268" s="1145"/>
      <c r="J268" s="1145"/>
      <c r="K268" s="1145"/>
      <c r="L268" s="1374"/>
      <c r="M268" s="1145"/>
      <c r="N268" s="1147"/>
      <c r="O268" s="1147"/>
      <c r="P268" s="1145"/>
      <c r="Q268" s="1148">
        <f>Q269+Q288</f>
        <v>497876000</v>
      </c>
      <c r="R268" s="1148">
        <f>R269+R288</f>
        <v>432950000</v>
      </c>
      <c r="S268" s="1149">
        <f>Q268-R268</f>
        <v>64926000</v>
      </c>
      <c r="T268" s="1376">
        <f>S268/R268</f>
        <v>0.14996188936366786</v>
      </c>
    </row>
    <row r="269" spans="1:20" ht="15" customHeight="1">
      <c r="A269" s="617"/>
      <c r="B269" s="632"/>
      <c r="C269" s="719"/>
      <c r="D269" s="632"/>
      <c r="E269" s="3750" t="s">
        <v>2865</v>
      </c>
      <c r="F269" s="3751"/>
      <c r="G269" s="3751"/>
      <c r="H269" s="3751"/>
      <c r="I269" s="3751"/>
      <c r="J269" s="3751"/>
      <c r="K269" s="3751"/>
      <c r="L269" s="3751"/>
      <c r="M269" s="3751"/>
      <c r="N269" s="3751"/>
      <c r="O269" s="3751"/>
      <c r="P269" s="3752"/>
      <c r="Q269" s="1154">
        <f>P270+P274+P277+P279+P282</f>
        <v>343786000</v>
      </c>
      <c r="R269" s="1154">
        <f>SUM(R270:R287)</f>
        <v>284750000</v>
      </c>
      <c r="S269" s="1155">
        <f>Q269-R269</f>
        <v>59036000</v>
      </c>
      <c r="T269" s="1288">
        <f>S269/R269</f>
        <v>0.20732572431957857</v>
      </c>
    </row>
    <row r="270" spans="1:20" ht="15" customHeight="1">
      <c r="A270" s="759"/>
      <c r="B270" s="703"/>
      <c r="C270" s="619"/>
      <c r="D270" s="703"/>
      <c r="E270" s="3385"/>
      <c r="F270" s="1574" t="s">
        <v>1246</v>
      </c>
      <c r="G270" s="1576"/>
      <c r="H270" s="1576"/>
      <c r="I270" s="1576"/>
      <c r="J270" s="1576"/>
      <c r="K270" s="1576"/>
      <c r="L270" s="1576"/>
      <c r="M270" s="1576"/>
      <c r="N270" s="1576"/>
      <c r="O270" s="1578"/>
      <c r="P270" s="1579">
        <f>SUM(P271:P273)</f>
        <v>18136000</v>
      </c>
      <c r="Q270" s="2547">
        <f>P270</f>
        <v>18136000</v>
      </c>
      <c r="R270" s="683">
        <v>12500000</v>
      </c>
      <c r="S270" s="1489">
        <f t="shared" ref="S270" si="107">Q270-R270</f>
        <v>5636000</v>
      </c>
      <c r="T270" s="2549">
        <f t="shared" ref="T270" si="108">S270/R270</f>
        <v>0.45088</v>
      </c>
    </row>
    <row r="271" spans="1:20" ht="15" customHeight="1">
      <c r="A271" s="617"/>
      <c r="B271" s="632"/>
      <c r="C271" s="719"/>
      <c r="D271" s="632"/>
      <c r="E271" s="1143"/>
      <c r="F271" s="1511" t="s">
        <v>1247</v>
      </c>
      <c r="G271" s="1552">
        <v>525000</v>
      </c>
      <c r="H271" s="1168" t="s">
        <v>21</v>
      </c>
      <c r="I271" s="2361">
        <v>20</v>
      </c>
      <c r="J271" s="691"/>
      <c r="K271" s="691"/>
      <c r="L271" s="1512"/>
      <c r="M271" s="691"/>
      <c r="N271" s="701"/>
      <c r="O271" s="701" t="s">
        <v>1248</v>
      </c>
      <c r="P271" s="693">
        <f>ROUNDUP(G271*I271,-3)</f>
        <v>10500000</v>
      </c>
      <c r="Q271" s="2457"/>
      <c r="R271" s="694"/>
      <c r="S271" s="695"/>
      <c r="T271" s="696"/>
    </row>
    <row r="272" spans="1:20" ht="15" customHeight="1">
      <c r="A272" s="617"/>
      <c r="B272" s="632"/>
      <c r="C272" s="719"/>
      <c r="D272" s="632"/>
      <c r="E272" s="1143"/>
      <c r="F272" s="1511" t="s">
        <v>1165</v>
      </c>
      <c r="G272" s="1552">
        <v>299800</v>
      </c>
      <c r="H272" s="1168" t="s">
        <v>21</v>
      </c>
      <c r="I272" s="2361">
        <v>20</v>
      </c>
      <c r="J272" s="1168"/>
      <c r="K272" s="1168"/>
      <c r="L272" s="1554"/>
      <c r="M272" s="1168"/>
      <c r="N272" s="692"/>
      <c r="O272" s="692" t="s">
        <v>1037</v>
      </c>
      <c r="P272" s="693">
        <f>ROUNDUP(G272*I272,-3)</f>
        <v>5996000</v>
      </c>
      <c r="Q272" s="666"/>
      <c r="R272" s="2317"/>
      <c r="S272" s="2318"/>
      <c r="T272" s="668"/>
    </row>
    <row r="273" spans="1:20" ht="15" customHeight="1">
      <c r="A273" s="617"/>
      <c r="B273" s="632"/>
      <c r="C273" s="719"/>
      <c r="D273" s="632"/>
      <c r="E273" s="1143"/>
      <c r="F273" s="1511" t="s">
        <v>1249</v>
      </c>
      <c r="G273" s="1552">
        <v>205000</v>
      </c>
      <c r="H273" s="1168" t="s">
        <v>21</v>
      </c>
      <c r="I273" s="1553">
        <v>8</v>
      </c>
      <c r="J273" s="691"/>
      <c r="K273" s="691"/>
      <c r="L273" s="1512"/>
      <c r="M273" s="691"/>
      <c r="N273" s="701"/>
      <c r="O273" s="701" t="s">
        <v>1248</v>
      </c>
      <c r="P273" s="693">
        <f>ROUNDUP(G273*I273,-3)</f>
        <v>1640000</v>
      </c>
      <c r="Q273" s="2457"/>
      <c r="R273" s="694"/>
      <c r="S273" s="695"/>
      <c r="T273" s="696"/>
    </row>
    <row r="274" spans="1:20" ht="15" customHeight="1">
      <c r="A274" s="617"/>
      <c r="B274" s="632"/>
      <c r="C274" s="719"/>
      <c r="D274" s="632"/>
      <c r="E274" s="3377"/>
      <c r="F274" s="1507" t="s">
        <v>1250</v>
      </c>
      <c r="G274" s="679"/>
      <c r="H274" s="679"/>
      <c r="I274" s="679"/>
      <c r="J274" s="679"/>
      <c r="K274" s="679"/>
      <c r="L274" s="679"/>
      <c r="M274" s="679"/>
      <c r="N274" s="679"/>
      <c r="O274" s="679"/>
      <c r="P274" s="681">
        <f>SUM(P275:P276)</f>
        <v>120000000</v>
      </c>
      <c r="Q274" s="2517">
        <f>P274</f>
        <v>120000000</v>
      </c>
      <c r="R274" s="653">
        <v>120000000</v>
      </c>
      <c r="S274" s="654">
        <f t="shared" ref="S274" si="109">Q274-R274</f>
        <v>0</v>
      </c>
      <c r="T274" s="2518">
        <f t="shared" ref="T274" si="110">S274/R274</f>
        <v>0</v>
      </c>
    </row>
    <row r="275" spans="1:20" ht="15" customHeight="1">
      <c r="A275" s="617"/>
      <c r="B275" s="632"/>
      <c r="C275" s="719"/>
      <c r="D275" s="632"/>
      <c r="E275" s="1143"/>
      <c r="F275" s="1511" t="s">
        <v>1251</v>
      </c>
      <c r="G275" s="1552">
        <v>3950000</v>
      </c>
      <c r="H275" s="1168" t="s">
        <v>21</v>
      </c>
      <c r="I275" s="660">
        <v>30</v>
      </c>
      <c r="J275" s="691"/>
      <c r="K275" s="691"/>
      <c r="L275" s="1512"/>
      <c r="M275" s="691"/>
      <c r="N275" s="701"/>
      <c r="O275" s="701" t="s">
        <v>1248</v>
      </c>
      <c r="P275" s="693">
        <f>ROUNDUP(G275*I275,-3)</f>
        <v>118500000</v>
      </c>
      <c r="Q275" s="2457"/>
      <c r="R275" s="694"/>
      <c r="S275" s="695"/>
      <c r="T275" s="696"/>
    </row>
    <row r="276" spans="1:20" ht="15" customHeight="1">
      <c r="A276" s="617"/>
      <c r="B276" s="632"/>
      <c r="C276" s="719"/>
      <c r="D276" s="632"/>
      <c r="E276" s="1143"/>
      <c r="F276" s="1511" t="s">
        <v>1252</v>
      </c>
      <c r="G276" s="1552">
        <v>300000</v>
      </c>
      <c r="H276" s="1168" t="s">
        <v>21</v>
      </c>
      <c r="I276" s="690">
        <v>5</v>
      </c>
      <c r="J276" s="691"/>
      <c r="K276" s="691"/>
      <c r="L276" s="1512"/>
      <c r="M276" s="691"/>
      <c r="N276" s="701"/>
      <c r="O276" s="701" t="s">
        <v>1248</v>
      </c>
      <c r="P276" s="693">
        <f>ROUNDUP(G276*I276,-3)</f>
        <v>1500000</v>
      </c>
      <c r="Q276" s="694"/>
      <c r="R276" s="694"/>
      <c r="S276" s="695"/>
      <c r="T276" s="696"/>
    </row>
    <row r="277" spans="1:20" ht="15" customHeight="1">
      <c r="A277" s="617"/>
      <c r="B277" s="632"/>
      <c r="C277" s="719"/>
      <c r="D277" s="632"/>
      <c r="E277" s="1143"/>
      <c r="F277" s="1507" t="s">
        <v>1253</v>
      </c>
      <c r="G277" s="679"/>
      <c r="H277" s="679"/>
      <c r="I277" s="679"/>
      <c r="J277" s="679"/>
      <c r="K277" s="679"/>
      <c r="L277" s="679"/>
      <c r="M277" s="679"/>
      <c r="N277" s="679"/>
      <c r="O277" s="687"/>
      <c r="P277" s="2562">
        <f>SUM(P278:P278)</f>
        <v>1000000</v>
      </c>
      <c r="Q277" s="2517">
        <f>P277</f>
        <v>1000000</v>
      </c>
      <c r="R277" s="653">
        <v>1000000</v>
      </c>
      <c r="S277" s="654">
        <f t="shared" ref="S277" si="111">Q277-R277</f>
        <v>0</v>
      </c>
      <c r="T277" s="2518">
        <f t="shared" ref="T277" si="112">S277/R277</f>
        <v>0</v>
      </c>
    </row>
    <row r="278" spans="1:20" ht="15" customHeight="1">
      <c r="A278" s="617"/>
      <c r="B278" s="632"/>
      <c r="C278" s="719"/>
      <c r="D278" s="632"/>
      <c r="E278" s="1143"/>
      <c r="F278" s="1509" t="s">
        <v>1254</v>
      </c>
      <c r="G278" s="1552">
        <v>500000</v>
      </c>
      <c r="H278" s="1168" t="s">
        <v>21</v>
      </c>
      <c r="I278" s="2563">
        <v>2</v>
      </c>
      <c r="J278" s="1168"/>
      <c r="K278" s="1168"/>
      <c r="L278" s="1554"/>
      <c r="M278" s="1168"/>
      <c r="N278" s="692"/>
      <c r="O278" s="692" t="s">
        <v>22</v>
      </c>
      <c r="P278" s="665">
        <f>ROUNDUP(G278*I278,-3)</f>
        <v>1000000</v>
      </c>
      <c r="Q278" s="694"/>
      <c r="R278" s="694"/>
      <c r="S278" s="695"/>
      <c r="T278" s="696"/>
    </row>
    <row r="279" spans="1:20" ht="15" customHeight="1">
      <c r="A279" s="617"/>
      <c r="B279" s="632"/>
      <c r="C279" s="719"/>
      <c r="D279" s="632"/>
      <c r="E279" s="1143"/>
      <c r="F279" s="1413" t="s">
        <v>1255</v>
      </c>
      <c r="G279" s="679"/>
      <c r="H279" s="679"/>
      <c r="I279" s="679"/>
      <c r="J279" s="679"/>
      <c r="K279" s="679"/>
      <c r="L279" s="679"/>
      <c r="M279" s="679"/>
      <c r="N279" s="679"/>
      <c r="O279" s="679"/>
      <c r="P279" s="652">
        <f>SUM(P280:P281)</f>
        <v>26400000</v>
      </c>
      <c r="Q279" s="2517">
        <f>P279</f>
        <v>26400000</v>
      </c>
      <c r="R279" s="653">
        <v>29400000</v>
      </c>
      <c r="S279" s="654">
        <f t="shared" ref="S279" si="113">Q279-R279</f>
        <v>-3000000</v>
      </c>
      <c r="T279" s="2518">
        <f t="shared" ref="T279" si="114">S279/R279</f>
        <v>-0.10204081632653061</v>
      </c>
    </row>
    <row r="280" spans="1:20" ht="15" customHeight="1">
      <c r="A280" s="617"/>
      <c r="B280" s="632"/>
      <c r="C280" s="719"/>
      <c r="D280" s="632"/>
      <c r="E280" s="1143"/>
      <c r="F280" s="2564" t="s">
        <v>1256</v>
      </c>
      <c r="G280" s="658">
        <v>2000000</v>
      </c>
      <c r="H280" s="662" t="s">
        <v>922</v>
      </c>
      <c r="I280" s="663">
        <v>12</v>
      </c>
      <c r="J280" s="1168"/>
      <c r="K280" s="1168"/>
      <c r="L280" s="1554"/>
      <c r="M280" s="1168"/>
      <c r="N280" s="692"/>
      <c r="O280" s="692" t="s">
        <v>1248</v>
      </c>
      <c r="P280" s="665">
        <f>ROUNDUP(G280*I280,-3)</f>
        <v>24000000</v>
      </c>
      <c r="Q280" s="694"/>
      <c r="R280" s="694"/>
      <c r="S280" s="695"/>
      <c r="T280" s="696"/>
    </row>
    <row r="281" spans="1:20" ht="15" customHeight="1">
      <c r="A281" s="617"/>
      <c r="B281" s="632"/>
      <c r="C281" s="719"/>
      <c r="D281" s="632"/>
      <c r="E281" s="1143"/>
      <c r="F281" s="2564" t="s">
        <v>1257</v>
      </c>
      <c r="G281" s="658">
        <v>200000</v>
      </c>
      <c r="H281" s="662" t="s">
        <v>1227</v>
      </c>
      <c r="I281" s="663">
        <v>12</v>
      </c>
      <c r="J281" s="659"/>
      <c r="K281" s="659"/>
      <c r="L281" s="2397"/>
      <c r="M281" s="659"/>
      <c r="N281" s="664"/>
      <c r="O281" s="692" t="s">
        <v>1248</v>
      </c>
      <c r="P281" s="665">
        <f>ROUNDUP(G281*I281,-3)</f>
        <v>2400000</v>
      </c>
      <c r="Q281" s="694"/>
      <c r="R281" s="694"/>
      <c r="S281" s="695"/>
      <c r="T281" s="696"/>
    </row>
    <row r="282" spans="1:20" ht="15" customHeight="1">
      <c r="A282" s="617"/>
      <c r="B282" s="632"/>
      <c r="C282" s="719"/>
      <c r="D282" s="632"/>
      <c r="E282" s="1143"/>
      <c r="F282" s="1413" t="s">
        <v>1258</v>
      </c>
      <c r="G282" s="2565"/>
      <c r="H282" s="672"/>
      <c r="I282" s="2566"/>
      <c r="J282" s="649"/>
      <c r="K282" s="649"/>
      <c r="L282" s="1414"/>
      <c r="M282" s="649"/>
      <c r="N282" s="651"/>
      <c r="O282" s="651"/>
      <c r="P282" s="652">
        <f>SUM(P283:P287)</f>
        <v>178250000</v>
      </c>
      <c r="Q282" s="2517">
        <f>P282</f>
        <v>178250000</v>
      </c>
      <c r="R282" s="653">
        <v>121850000</v>
      </c>
      <c r="S282" s="654">
        <f t="shared" ref="S282" si="115">Q282-R282</f>
        <v>56400000</v>
      </c>
      <c r="T282" s="2518">
        <f t="shared" ref="T282" si="116">S282/R282</f>
        <v>0.46286417726713169</v>
      </c>
    </row>
    <row r="283" spans="1:20" ht="15" customHeight="1">
      <c r="A283" s="617"/>
      <c r="B283" s="632"/>
      <c r="C283" s="719"/>
      <c r="D283" s="632"/>
      <c r="E283" s="1143"/>
      <c r="F283" s="2564" t="s">
        <v>1259</v>
      </c>
      <c r="G283" s="658">
        <v>13662500</v>
      </c>
      <c r="H283" s="662" t="s">
        <v>969</v>
      </c>
      <c r="I283" s="663">
        <v>12</v>
      </c>
      <c r="J283" s="659"/>
      <c r="K283" s="659"/>
      <c r="L283" s="2397"/>
      <c r="M283" s="659"/>
      <c r="N283" s="664"/>
      <c r="O283" s="664" t="s">
        <v>1248</v>
      </c>
      <c r="P283" s="665">
        <f>ROUNDUP(G283*I283,-3)</f>
        <v>163950000</v>
      </c>
      <c r="Q283" s="694"/>
      <c r="R283" s="694"/>
      <c r="S283" s="695"/>
      <c r="T283" s="696"/>
    </row>
    <row r="284" spans="1:20" ht="15" customHeight="1">
      <c r="A284" s="617"/>
      <c r="B284" s="632"/>
      <c r="C284" s="719"/>
      <c r="D284" s="632"/>
      <c r="E284" s="1143"/>
      <c r="F284" s="2564" t="s">
        <v>1260</v>
      </c>
      <c r="G284" s="658">
        <v>1000000</v>
      </c>
      <c r="H284" s="662" t="s">
        <v>817</v>
      </c>
      <c r="I284" s="690">
        <v>1</v>
      </c>
      <c r="J284" s="659"/>
      <c r="K284" s="659"/>
      <c r="L284" s="2397"/>
      <c r="M284" s="659"/>
      <c r="N284" s="664"/>
      <c r="O284" s="664" t="s">
        <v>1248</v>
      </c>
      <c r="P284" s="665">
        <f>ROUNDUP(G284*I284,-3)</f>
        <v>1000000</v>
      </c>
      <c r="Q284" s="694"/>
      <c r="R284" s="694"/>
      <c r="S284" s="695"/>
      <c r="T284" s="696"/>
    </row>
    <row r="285" spans="1:20" ht="15" customHeight="1">
      <c r="A285" s="617"/>
      <c r="B285" s="632"/>
      <c r="C285" s="719"/>
      <c r="D285" s="632"/>
      <c r="E285" s="1143"/>
      <c r="F285" s="2564" t="s">
        <v>1261</v>
      </c>
      <c r="G285" s="658">
        <v>1000000</v>
      </c>
      <c r="H285" s="662" t="s">
        <v>1262</v>
      </c>
      <c r="I285" s="690">
        <v>1</v>
      </c>
      <c r="J285" s="659"/>
      <c r="K285" s="659"/>
      <c r="L285" s="2397"/>
      <c r="M285" s="659"/>
      <c r="N285" s="664"/>
      <c r="O285" s="664" t="s">
        <v>1248</v>
      </c>
      <c r="P285" s="665">
        <f>ROUNDUP(G285*I285,-3)</f>
        <v>1000000</v>
      </c>
      <c r="Q285" s="694"/>
      <c r="R285" s="694"/>
      <c r="S285" s="695"/>
      <c r="T285" s="696"/>
    </row>
    <row r="286" spans="1:20" ht="15" customHeight="1">
      <c r="A286" s="617"/>
      <c r="B286" s="632"/>
      <c r="C286" s="719"/>
      <c r="D286" s="632"/>
      <c r="E286" s="1143"/>
      <c r="F286" s="2564" t="s">
        <v>1263</v>
      </c>
      <c r="G286" s="658">
        <v>300000000</v>
      </c>
      <c r="H286" s="662" t="s">
        <v>969</v>
      </c>
      <c r="I286" s="2567">
        <v>2.7E-2</v>
      </c>
      <c r="J286" s="659"/>
      <c r="K286" s="659"/>
      <c r="L286" s="2397"/>
      <c r="M286" s="659"/>
      <c r="N286" s="664"/>
      <c r="O286" s="664" t="s">
        <v>1248</v>
      </c>
      <c r="P286" s="665">
        <f>ROUNDUP(G286*I286,-3)</f>
        <v>8100000</v>
      </c>
      <c r="Q286" s="694"/>
      <c r="R286" s="694"/>
      <c r="S286" s="695"/>
      <c r="T286" s="696"/>
    </row>
    <row r="287" spans="1:20" ht="15" customHeight="1">
      <c r="A287" s="617"/>
      <c r="B287" s="632"/>
      <c r="C287" s="719"/>
      <c r="D287" s="632"/>
      <c r="E287" s="1143"/>
      <c r="F287" s="2564" t="s">
        <v>1264</v>
      </c>
      <c r="G287" s="658">
        <v>350000</v>
      </c>
      <c r="H287" s="662" t="s">
        <v>969</v>
      </c>
      <c r="I287" s="663">
        <v>12</v>
      </c>
      <c r="J287" s="659"/>
      <c r="K287" s="659"/>
      <c r="L287" s="2397"/>
      <c r="M287" s="659"/>
      <c r="N287" s="664"/>
      <c r="O287" s="664" t="s">
        <v>1037</v>
      </c>
      <c r="P287" s="665">
        <f>ROUNDUP(G287*I287,-3)</f>
        <v>4200000</v>
      </c>
      <c r="Q287" s="694"/>
      <c r="R287" s="694"/>
      <c r="S287" s="695"/>
      <c r="T287" s="696"/>
    </row>
    <row r="288" spans="1:20" ht="15" customHeight="1">
      <c r="A288" s="617"/>
      <c r="B288" s="632"/>
      <c r="C288" s="719"/>
      <c r="D288" s="632"/>
      <c r="E288" s="3750" t="s">
        <v>3022</v>
      </c>
      <c r="F288" s="3751"/>
      <c r="G288" s="3751"/>
      <c r="H288" s="3751"/>
      <c r="I288" s="3751"/>
      <c r="J288" s="3751"/>
      <c r="K288" s="3751"/>
      <c r="L288" s="3751"/>
      <c r="M288" s="3751"/>
      <c r="N288" s="3751"/>
      <c r="O288" s="3751"/>
      <c r="P288" s="3752"/>
      <c r="Q288" s="1154">
        <f>P289+P294+P301+P307+P315+P317</f>
        <v>154090000</v>
      </c>
      <c r="R288" s="1154">
        <f>SUM(R289:R320)</f>
        <v>148200000</v>
      </c>
      <c r="S288" s="1155">
        <f>Q288-R288</f>
        <v>5890000</v>
      </c>
      <c r="T288" s="1288">
        <f>S288/R288</f>
        <v>3.9743589743589741E-2</v>
      </c>
    </row>
    <row r="289" spans="1:20" ht="15" customHeight="1">
      <c r="A289" s="617"/>
      <c r="B289" s="632"/>
      <c r="C289" s="719"/>
      <c r="D289" s="632"/>
      <c r="F289" s="1507" t="s">
        <v>1265</v>
      </c>
      <c r="G289" s="679"/>
      <c r="H289" s="679"/>
      <c r="I289" s="679"/>
      <c r="J289" s="679"/>
      <c r="K289" s="679"/>
      <c r="L289" s="679"/>
      <c r="M289" s="679"/>
      <c r="N289" s="679"/>
      <c r="O289" s="687"/>
      <c r="P289" s="681">
        <f>SUM(P290:P293)</f>
        <v>10000000</v>
      </c>
      <c r="Q289" s="2517">
        <f>P289</f>
        <v>10000000</v>
      </c>
      <c r="R289" s="653">
        <v>12000000</v>
      </c>
      <c r="S289" s="654">
        <f t="shared" ref="S289" si="117">Q289-R289</f>
        <v>-2000000</v>
      </c>
      <c r="T289" s="2518">
        <f t="shared" ref="T289" si="118">S289/R289</f>
        <v>-0.16666666666666666</v>
      </c>
    </row>
    <row r="290" spans="1:20" ht="15" customHeight="1">
      <c r="A290" s="617"/>
      <c r="B290" s="632"/>
      <c r="C290" s="719"/>
      <c r="D290" s="632"/>
      <c r="F290" s="1423" t="s">
        <v>1266</v>
      </c>
      <c r="G290" s="702">
        <v>130000</v>
      </c>
      <c r="H290" s="691" t="s">
        <v>21</v>
      </c>
      <c r="I290" s="690">
        <v>32</v>
      </c>
      <c r="J290" s="691"/>
      <c r="K290" s="691"/>
      <c r="L290" s="1512"/>
      <c r="M290" s="691"/>
      <c r="N290" s="701"/>
      <c r="O290" s="701" t="s">
        <v>22</v>
      </c>
      <c r="P290" s="693">
        <f>ROUNDUP(G290*I290,-3)</f>
        <v>4160000</v>
      </c>
      <c r="Q290" s="694"/>
      <c r="R290" s="694"/>
      <c r="S290" s="695"/>
      <c r="T290" s="696"/>
    </row>
    <row r="291" spans="1:20" ht="15" customHeight="1">
      <c r="A291" s="617"/>
      <c r="B291" s="632"/>
      <c r="C291" s="719"/>
      <c r="D291" s="632"/>
      <c r="F291" s="1423" t="s">
        <v>1267</v>
      </c>
      <c r="G291" s="702">
        <v>100000</v>
      </c>
      <c r="H291" s="691" t="s">
        <v>21</v>
      </c>
      <c r="I291" s="2568">
        <v>4</v>
      </c>
      <c r="J291" s="691"/>
      <c r="K291" s="691"/>
      <c r="L291" s="1512"/>
      <c r="M291" s="691"/>
      <c r="N291" s="701"/>
      <c r="O291" s="701" t="s">
        <v>22</v>
      </c>
      <c r="P291" s="693">
        <f>ROUNDUP(G291*I291,-3)</f>
        <v>400000</v>
      </c>
      <c r="Q291" s="694"/>
      <c r="R291" s="694"/>
      <c r="S291" s="695"/>
      <c r="T291" s="696"/>
    </row>
    <row r="292" spans="1:20" ht="15" customHeight="1">
      <c r="A292" s="617"/>
      <c r="B292" s="632"/>
      <c r="C292" s="719"/>
      <c r="D292" s="632"/>
      <c r="F292" s="1423" t="s">
        <v>1268</v>
      </c>
      <c r="G292" s="702">
        <v>70000</v>
      </c>
      <c r="H292" s="691" t="s">
        <v>21</v>
      </c>
      <c r="I292" s="690">
        <v>72</v>
      </c>
      <c r="J292" s="691"/>
      <c r="K292" s="691"/>
      <c r="L292" s="1512"/>
      <c r="M292" s="691"/>
      <c r="N292" s="701"/>
      <c r="O292" s="701" t="s">
        <v>22</v>
      </c>
      <c r="P292" s="693">
        <f>ROUNDUP(G292*I292,-3)</f>
        <v>5040000</v>
      </c>
      <c r="Q292" s="694"/>
      <c r="R292" s="694"/>
      <c r="S292" s="695"/>
      <c r="T292" s="696"/>
    </row>
    <row r="293" spans="1:20" ht="15" customHeight="1">
      <c r="A293" s="617"/>
      <c r="B293" s="632"/>
      <c r="C293" s="719"/>
      <c r="D293" s="632"/>
      <c r="F293" s="1423" t="s">
        <v>1269</v>
      </c>
      <c r="G293" s="702">
        <v>100000</v>
      </c>
      <c r="H293" s="691" t="s">
        <v>21</v>
      </c>
      <c r="I293" s="2568">
        <v>4</v>
      </c>
      <c r="J293" s="691"/>
      <c r="K293" s="691"/>
      <c r="L293" s="1512"/>
      <c r="M293" s="691"/>
      <c r="N293" s="701"/>
      <c r="O293" s="701" t="s">
        <v>22</v>
      </c>
      <c r="P293" s="693">
        <f>ROUNDUP(G293*I293,-3)</f>
        <v>400000</v>
      </c>
      <c r="Q293" s="694"/>
      <c r="R293" s="694"/>
      <c r="S293" s="695"/>
      <c r="T293" s="696"/>
    </row>
    <row r="294" spans="1:20" ht="15" customHeight="1">
      <c r="A294" s="617"/>
      <c r="B294" s="632"/>
      <c r="C294" s="719"/>
      <c r="D294" s="632"/>
      <c r="F294" s="1507" t="s">
        <v>1270</v>
      </c>
      <c r="G294" s="679"/>
      <c r="H294" s="679"/>
      <c r="I294" s="679"/>
      <c r="J294" s="679"/>
      <c r="K294" s="679"/>
      <c r="L294" s="679"/>
      <c r="M294" s="679"/>
      <c r="N294" s="679"/>
      <c r="O294" s="687"/>
      <c r="P294" s="681">
        <f>SUM(P295:P300)</f>
        <v>7000000</v>
      </c>
      <c r="Q294" s="2517">
        <f>P294</f>
        <v>7000000</v>
      </c>
      <c r="R294" s="653">
        <v>7500000</v>
      </c>
      <c r="S294" s="654">
        <f t="shared" ref="S294" si="119">Q294-R294</f>
        <v>-500000</v>
      </c>
      <c r="T294" s="2518">
        <f t="shared" ref="T294" si="120">S294/R294</f>
        <v>-6.6666666666666666E-2</v>
      </c>
    </row>
    <row r="295" spans="1:20" ht="15" customHeight="1">
      <c r="A295" s="617"/>
      <c r="B295" s="632"/>
      <c r="C295" s="719"/>
      <c r="D295" s="632"/>
      <c r="F295" s="1423" t="s">
        <v>2361</v>
      </c>
      <c r="G295" s="702">
        <v>700000</v>
      </c>
      <c r="H295" s="691" t="s">
        <v>21</v>
      </c>
      <c r="I295" s="1469">
        <v>2</v>
      </c>
      <c r="J295" s="2569"/>
      <c r="K295" s="691"/>
      <c r="L295" s="1512"/>
      <c r="M295" s="691"/>
      <c r="N295" s="701"/>
      <c r="O295" s="701" t="s">
        <v>22</v>
      </c>
      <c r="P295" s="693">
        <f>ROUNDUP(G295*I295,-3)</f>
        <v>1400000</v>
      </c>
      <c r="Q295" s="694"/>
      <c r="R295" s="694"/>
      <c r="S295" s="695"/>
      <c r="T295" s="696"/>
    </row>
    <row r="296" spans="1:20" ht="15" customHeight="1">
      <c r="A296" s="617"/>
      <c r="B296" s="632"/>
      <c r="C296" s="719"/>
      <c r="D296" s="632"/>
      <c r="F296" s="1423" t="s">
        <v>2362</v>
      </c>
      <c r="G296" s="702">
        <v>300000</v>
      </c>
      <c r="H296" s="691" t="s">
        <v>21</v>
      </c>
      <c r="I296" s="1469">
        <v>2</v>
      </c>
      <c r="J296" s="2569"/>
      <c r="K296" s="691"/>
      <c r="L296" s="1512"/>
      <c r="M296" s="691"/>
      <c r="N296" s="701"/>
      <c r="O296" s="701" t="s">
        <v>22</v>
      </c>
      <c r="P296" s="693">
        <f>ROUNDUP(G296*I296,-3)</f>
        <v>600000</v>
      </c>
      <c r="Q296" s="694"/>
      <c r="R296" s="694"/>
      <c r="S296" s="695"/>
      <c r="T296" s="696"/>
    </row>
    <row r="297" spans="1:20" ht="15" customHeight="1">
      <c r="A297" s="617"/>
      <c r="B297" s="632"/>
      <c r="C297" s="719"/>
      <c r="D297" s="632"/>
      <c r="F297" s="1423" t="s">
        <v>2363</v>
      </c>
      <c r="G297" s="702">
        <v>500000</v>
      </c>
      <c r="H297" s="691" t="s">
        <v>21</v>
      </c>
      <c r="I297" s="1469">
        <v>2</v>
      </c>
      <c r="J297" s="2569"/>
      <c r="K297" s="691"/>
      <c r="L297" s="1512"/>
      <c r="M297" s="691"/>
      <c r="N297" s="701"/>
      <c r="O297" s="701" t="s">
        <v>22</v>
      </c>
      <c r="P297" s="693">
        <f t="shared" ref="P297:P300" si="121">ROUNDUP(G297*I297,-3)</f>
        <v>1000000</v>
      </c>
      <c r="Q297" s="694"/>
      <c r="R297" s="694"/>
      <c r="S297" s="695"/>
      <c r="T297" s="696"/>
    </row>
    <row r="298" spans="1:20" ht="15" customHeight="1">
      <c r="A298" s="617"/>
      <c r="B298" s="632"/>
      <c r="C298" s="719"/>
      <c r="D298" s="632"/>
      <c r="F298" s="1423" t="s">
        <v>2364</v>
      </c>
      <c r="G298" s="702">
        <v>500000</v>
      </c>
      <c r="H298" s="691" t="s">
        <v>21</v>
      </c>
      <c r="I298" s="1469">
        <v>2</v>
      </c>
      <c r="J298" s="2569"/>
      <c r="K298" s="691"/>
      <c r="L298" s="1512"/>
      <c r="M298" s="691"/>
      <c r="N298" s="701"/>
      <c r="O298" s="701" t="s">
        <v>22</v>
      </c>
      <c r="P298" s="693">
        <f t="shared" si="121"/>
        <v>1000000</v>
      </c>
      <c r="Q298" s="694"/>
      <c r="R298" s="694"/>
      <c r="S298" s="695"/>
      <c r="T298" s="696"/>
    </row>
    <row r="299" spans="1:20" ht="15" customHeight="1">
      <c r="A299" s="617"/>
      <c r="B299" s="632"/>
      <c r="C299" s="719"/>
      <c r="D299" s="632"/>
      <c r="F299" s="1423" t="s">
        <v>2365</v>
      </c>
      <c r="G299" s="702">
        <v>500000</v>
      </c>
      <c r="H299" s="691" t="s">
        <v>21</v>
      </c>
      <c r="I299" s="1469">
        <v>4</v>
      </c>
      <c r="J299" s="2569"/>
      <c r="K299" s="691"/>
      <c r="L299" s="1512"/>
      <c r="M299" s="691"/>
      <c r="N299" s="701"/>
      <c r="O299" s="701" t="s">
        <v>22</v>
      </c>
      <c r="P299" s="693">
        <f t="shared" si="121"/>
        <v>2000000</v>
      </c>
      <c r="Q299" s="694"/>
      <c r="R299" s="694"/>
      <c r="S299" s="695"/>
      <c r="T299" s="696"/>
    </row>
    <row r="300" spans="1:20" ht="15" customHeight="1">
      <c r="A300" s="617"/>
      <c r="B300" s="632"/>
      <c r="C300" s="719"/>
      <c r="D300" s="632"/>
      <c r="F300" s="1423" t="s">
        <v>2366</v>
      </c>
      <c r="G300" s="702">
        <v>250000</v>
      </c>
      <c r="H300" s="691" t="s">
        <v>21</v>
      </c>
      <c r="I300" s="1469">
        <v>4</v>
      </c>
      <c r="J300" s="2569"/>
      <c r="K300" s="691"/>
      <c r="L300" s="1512"/>
      <c r="M300" s="691"/>
      <c r="N300" s="701"/>
      <c r="O300" s="701" t="s">
        <v>22</v>
      </c>
      <c r="P300" s="693">
        <f t="shared" si="121"/>
        <v>1000000</v>
      </c>
      <c r="Q300" s="694"/>
      <c r="R300" s="694"/>
      <c r="S300" s="695"/>
      <c r="T300" s="696"/>
    </row>
    <row r="301" spans="1:20" ht="15" customHeight="1">
      <c r="A301" s="617"/>
      <c r="B301" s="632"/>
      <c r="C301" s="719"/>
      <c r="D301" s="632"/>
      <c r="F301" s="1413" t="s">
        <v>1271</v>
      </c>
      <c r="G301" s="679"/>
      <c r="H301" s="679"/>
      <c r="I301" s="679"/>
      <c r="J301" s="679"/>
      <c r="K301" s="679"/>
      <c r="L301" s="679"/>
      <c r="M301" s="679"/>
      <c r="N301" s="679"/>
      <c r="O301" s="651"/>
      <c r="P301" s="652">
        <f>SUM(P302:P306)</f>
        <v>15600000</v>
      </c>
      <c r="Q301" s="2517">
        <f>P301</f>
        <v>15600000</v>
      </c>
      <c r="R301" s="653">
        <v>6850000</v>
      </c>
      <c r="S301" s="654">
        <f t="shared" ref="S301" si="122">Q301-R301</f>
        <v>8750000</v>
      </c>
      <c r="T301" s="2518">
        <f t="shared" ref="T301" si="123">S301/R301</f>
        <v>1.2773722627737227</v>
      </c>
    </row>
    <row r="302" spans="1:20" ht="15" customHeight="1">
      <c r="A302" s="617"/>
      <c r="B302" s="632"/>
      <c r="C302" s="719"/>
      <c r="D302" s="632"/>
      <c r="F302" s="1423" t="s">
        <v>2367</v>
      </c>
      <c r="G302" s="2188">
        <v>300</v>
      </c>
      <c r="H302" s="659" t="s">
        <v>21</v>
      </c>
      <c r="I302" s="2570">
        <v>2500</v>
      </c>
      <c r="J302" s="659" t="s">
        <v>21</v>
      </c>
      <c r="K302" s="2392">
        <v>4</v>
      </c>
      <c r="L302" s="1554"/>
      <c r="M302" s="1168"/>
      <c r="N302" s="692"/>
      <c r="O302" s="664" t="s">
        <v>22</v>
      </c>
      <c r="P302" s="693">
        <f>ROUNDUP(G302*I302*K302,-3)</f>
        <v>3000000</v>
      </c>
      <c r="Q302" s="694"/>
      <c r="R302" s="694"/>
      <c r="S302" s="695"/>
      <c r="T302" s="696"/>
    </row>
    <row r="303" spans="1:20" ht="15" customHeight="1">
      <c r="A303" s="617"/>
      <c r="B303" s="632"/>
      <c r="C303" s="719"/>
      <c r="D303" s="632"/>
      <c r="F303" s="1423" t="s">
        <v>2368</v>
      </c>
      <c r="G303" s="2188">
        <v>850000</v>
      </c>
      <c r="H303" s="659" t="s">
        <v>21</v>
      </c>
      <c r="I303" s="2392">
        <v>4</v>
      </c>
      <c r="J303" s="1168"/>
      <c r="K303" s="1168"/>
      <c r="L303" s="1554"/>
      <c r="M303" s="1168"/>
      <c r="N303" s="692"/>
      <c r="O303" s="664" t="s">
        <v>22</v>
      </c>
      <c r="P303" s="693">
        <f>ROUNDUP(G303*I303,-3)</f>
        <v>3400000</v>
      </c>
      <c r="Q303" s="694"/>
      <c r="R303" s="694"/>
      <c r="S303" s="695"/>
      <c r="T303" s="696"/>
    </row>
    <row r="304" spans="1:20" ht="15" customHeight="1">
      <c r="A304" s="617"/>
      <c r="B304" s="632"/>
      <c r="C304" s="719"/>
      <c r="D304" s="632"/>
      <c r="F304" s="1423" t="s">
        <v>2369</v>
      </c>
      <c r="G304" s="2188">
        <v>1000</v>
      </c>
      <c r="H304" s="659" t="s">
        <v>21</v>
      </c>
      <c r="I304" s="2570">
        <v>5000</v>
      </c>
      <c r="J304" s="1168"/>
      <c r="K304" s="1168"/>
      <c r="L304" s="1554"/>
      <c r="M304" s="1168"/>
      <c r="N304" s="692"/>
      <c r="O304" s="664" t="s">
        <v>22</v>
      </c>
      <c r="P304" s="693">
        <f>ROUNDUP(G304*I304,-3)</f>
        <v>5000000</v>
      </c>
      <c r="Q304" s="694"/>
      <c r="R304" s="694"/>
      <c r="S304" s="695"/>
      <c r="T304" s="696"/>
    </row>
    <row r="305" spans="1:20" ht="15" customHeight="1">
      <c r="A305" s="617"/>
      <c r="B305" s="632"/>
      <c r="C305" s="719"/>
      <c r="D305" s="632"/>
      <c r="F305" s="1423" t="s">
        <v>2370</v>
      </c>
      <c r="G305" s="2188">
        <v>1000</v>
      </c>
      <c r="H305" s="659" t="s">
        <v>21</v>
      </c>
      <c r="I305" s="2571">
        <v>3000</v>
      </c>
      <c r="J305" s="1168"/>
      <c r="K305" s="1168"/>
      <c r="L305" s="1554"/>
      <c r="M305" s="1168"/>
      <c r="N305" s="692"/>
      <c r="O305" s="664" t="s">
        <v>22</v>
      </c>
      <c r="P305" s="693">
        <f>ROUNDUP(G305*I305,-3)</f>
        <v>3000000</v>
      </c>
      <c r="Q305" s="694"/>
      <c r="R305" s="694"/>
      <c r="S305" s="695"/>
      <c r="T305" s="696"/>
    </row>
    <row r="306" spans="1:20" ht="15" customHeight="1">
      <c r="A306" s="617"/>
      <c r="B306" s="632"/>
      <c r="C306" s="719"/>
      <c r="D306" s="632"/>
      <c r="F306" s="1423" t="s">
        <v>2371</v>
      </c>
      <c r="G306" s="2188">
        <v>100000</v>
      </c>
      <c r="H306" s="659" t="s">
        <v>21</v>
      </c>
      <c r="I306" s="2414">
        <v>12</v>
      </c>
      <c r="J306" s="1168"/>
      <c r="K306" s="1168"/>
      <c r="L306" s="1554"/>
      <c r="M306" s="1168"/>
      <c r="N306" s="692"/>
      <c r="O306" s="664" t="s">
        <v>22</v>
      </c>
      <c r="P306" s="693">
        <f>ROUNDUP(G306*I306,-3)</f>
        <v>1200000</v>
      </c>
      <c r="Q306" s="694"/>
      <c r="R306" s="694"/>
      <c r="S306" s="695"/>
      <c r="T306" s="696"/>
    </row>
    <row r="307" spans="1:20" ht="15" customHeight="1">
      <c r="A307" s="759"/>
      <c r="B307" s="703"/>
      <c r="C307" s="619"/>
      <c r="D307" s="703"/>
      <c r="E307" s="726"/>
      <c r="F307" s="1483" t="s">
        <v>1272</v>
      </c>
      <c r="G307" s="1484"/>
      <c r="H307" s="1485"/>
      <c r="I307" s="1485"/>
      <c r="J307" s="1485"/>
      <c r="K307" s="1485"/>
      <c r="L307" s="1486"/>
      <c r="M307" s="1485"/>
      <c r="N307" s="1487"/>
      <c r="O307" s="1487"/>
      <c r="P307" s="1488">
        <f>SUM(P308:P314)</f>
        <v>117690000</v>
      </c>
      <c r="Q307" s="2547">
        <f>P307</f>
        <v>117690000</v>
      </c>
      <c r="R307" s="683">
        <v>121850000</v>
      </c>
      <c r="S307" s="1489">
        <f t="shared" ref="S307" si="124">Q307-R307</f>
        <v>-4160000</v>
      </c>
      <c r="T307" s="2549">
        <f t="shared" ref="T307" si="125">S307/R307</f>
        <v>-3.4140336479277798E-2</v>
      </c>
    </row>
    <row r="308" spans="1:20" ht="15" customHeight="1">
      <c r="A308" s="617"/>
      <c r="B308" s="632"/>
      <c r="C308" s="719"/>
      <c r="D308" s="632"/>
      <c r="F308" s="2564" t="s">
        <v>2372</v>
      </c>
      <c r="G308" s="658">
        <v>8282500</v>
      </c>
      <c r="H308" s="662" t="s">
        <v>125</v>
      </c>
      <c r="I308" s="663">
        <v>12</v>
      </c>
      <c r="J308" s="659"/>
      <c r="K308" s="659"/>
      <c r="L308" s="2397"/>
      <c r="M308" s="659"/>
      <c r="N308" s="664"/>
      <c r="O308" s="664" t="s">
        <v>2373</v>
      </c>
      <c r="P308" s="665">
        <f t="shared" ref="P308:P314" si="126">ROUNDUP(G308*I308,-3)</f>
        <v>99390000</v>
      </c>
      <c r="Q308" s="694"/>
      <c r="R308" s="694"/>
      <c r="S308" s="695"/>
      <c r="T308" s="696"/>
    </row>
    <row r="309" spans="1:20" ht="15" customHeight="1">
      <c r="A309" s="617"/>
      <c r="B309" s="632"/>
      <c r="C309" s="719"/>
      <c r="D309" s="632"/>
      <c r="F309" s="2564" t="s">
        <v>2374</v>
      </c>
      <c r="G309" s="658">
        <v>500000</v>
      </c>
      <c r="H309" s="662" t="s">
        <v>2375</v>
      </c>
      <c r="I309" s="690">
        <v>1</v>
      </c>
      <c r="J309" s="659"/>
      <c r="K309" s="659"/>
      <c r="L309" s="2397"/>
      <c r="M309" s="659"/>
      <c r="N309" s="664"/>
      <c r="O309" s="664" t="s">
        <v>2376</v>
      </c>
      <c r="P309" s="665">
        <f t="shared" si="126"/>
        <v>500000</v>
      </c>
      <c r="Q309" s="694"/>
      <c r="R309" s="694"/>
      <c r="S309" s="695"/>
      <c r="T309" s="696"/>
    </row>
    <row r="310" spans="1:20" ht="15" customHeight="1">
      <c r="A310" s="617"/>
      <c r="B310" s="632"/>
      <c r="C310" s="719"/>
      <c r="D310" s="632"/>
      <c r="F310" s="2564" t="s">
        <v>2377</v>
      </c>
      <c r="G310" s="658">
        <v>1000000</v>
      </c>
      <c r="H310" s="662" t="s">
        <v>2378</v>
      </c>
      <c r="I310" s="690">
        <v>1</v>
      </c>
      <c r="J310" s="659"/>
      <c r="K310" s="659"/>
      <c r="L310" s="2397"/>
      <c r="M310" s="659"/>
      <c r="N310" s="664"/>
      <c r="O310" s="664" t="s">
        <v>2376</v>
      </c>
      <c r="P310" s="665">
        <f t="shared" si="126"/>
        <v>1000000</v>
      </c>
      <c r="Q310" s="694"/>
      <c r="R310" s="694"/>
      <c r="S310" s="695"/>
      <c r="T310" s="696"/>
    </row>
    <row r="311" spans="1:20" ht="15" customHeight="1">
      <c r="A311" s="617"/>
      <c r="B311" s="632"/>
      <c r="C311" s="719"/>
      <c r="D311" s="632"/>
      <c r="F311" s="2564" t="s">
        <v>2379</v>
      </c>
      <c r="G311" s="658">
        <v>400000</v>
      </c>
      <c r="H311" s="662" t="s">
        <v>2378</v>
      </c>
      <c r="I311" s="663">
        <v>12</v>
      </c>
      <c r="J311" s="659"/>
      <c r="K311" s="659"/>
      <c r="L311" s="2397"/>
      <c r="M311" s="659"/>
      <c r="N311" s="664"/>
      <c r="O311" s="664" t="s">
        <v>2380</v>
      </c>
      <c r="P311" s="665">
        <f t="shared" si="126"/>
        <v>4800000</v>
      </c>
      <c r="Q311" s="694"/>
      <c r="R311" s="694"/>
      <c r="S311" s="695"/>
      <c r="T311" s="696"/>
    </row>
    <row r="312" spans="1:20" ht="15" customHeight="1">
      <c r="A312" s="617"/>
      <c r="B312" s="632"/>
      <c r="C312" s="719"/>
      <c r="D312" s="632"/>
      <c r="F312" s="2564" t="s">
        <v>2381</v>
      </c>
      <c r="G312" s="658">
        <v>300000</v>
      </c>
      <c r="H312" s="662" t="s">
        <v>2378</v>
      </c>
      <c r="I312" s="663">
        <v>12</v>
      </c>
      <c r="J312" s="659"/>
      <c r="K312" s="659"/>
      <c r="L312" s="2397"/>
      <c r="M312" s="659"/>
      <c r="N312" s="664"/>
      <c r="O312" s="664" t="s">
        <v>2380</v>
      </c>
      <c r="P312" s="665">
        <f t="shared" si="126"/>
        <v>3600000</v>
      </c>
      <c r="Q312" s="694"/>
      <c r="R312" s="694"/>
      <c r="S312" s="695"/>
      <c r="T312" s="696"/>
    </row>
    <row r="313" spans="1:20" ht="15" customHeight="1">
      <c r="A313" s="617"/>
      <c r="B313" s="632"/>
      <c r="C313" s="719"/>
      <c r="D313" s="632"/>
      <c r="F313" s="2564" t="s">
        <v>2382</v>
      </c>
      <c r="G313" s="2572">
        <v>200000000</v>
      </c>
      <c r="H313" s="662" t="s">
        <v>2378</v>
      </c>
      <c r="I313" s="2567">
        <v>2.7E-2</v>
      </c>
      <c r="J313" s="659"/>
      <c r="K313" s="659"/>
      <c r="L313" s="2397"/>
      <c r="M313" s="659"/>
      <c r="N313" s="664"/>
      <c r="O313" s="664" t="s">
        <v>2380</v>
      </c>
      <c r="P313" s="665">
        <f t="shared" si="126"/>
        <v>5400000</v>
      </c>
      <c r="Q313" s="694"/>
      <c r="R313" s="694"/>
      <c r="S313" s="695"/>
      <c r="T313" s="696"/>
    </row>
    <row r="314" spans="1:20" ht="15" customHeight="1">
      <c r="A314" s="617"/>
      <c r="B314" s="632"/>
      <c r="C314" s="719"/>
      <c r="D314" s="632"/>
      <c r="E314" s="3358"/>
      <c r="F314" s="2564" t="s">
        <v>2383</v>
      </c>
      <c r="G314" s="658">
        <v>250000</v>
      </c>
      <c r="H314" s="662" t="s">
        <v>2378</v>
      </c>
      <c r="I314" s="663">
        <v>12</v>
      </c>
      <c r="J314" s="659"/>
      <c r="K314" s="659"/>
      <c r="L314" s="2397"/>
      <c r="M314" s="659"/>
      <c r="N314" s="664"/>
      <c r="O314" s="664" t="s">
        <v>2376</v>
      </c>
      <c r="P314" s="665">
        <f t="shared" si="126"/>
        <v>3000000</v>
      </c>
      <c r="Q314" s="694"/>
      <c r="R314" s="694"/>
      <c r="S314" s="695"/>
      <c r="T314" s="696"/>
    </row>
    <row r="315" spans="1:20" ht="15" customHeight="1">
      <c r="A315" s="617"/>
      <c r="B315" s="632"/>
      <c r="C315" s="719"/>
      <c r="D315" s="632"/>
      <c r="E315" s="3358"/>
      <c r="F315" s="1507" t="s">
        <v>1273</v>
      </c>
      <c r="G315" s="679"/>
      <c r="H315" s="679"/>
      <c r="I315" s="679"/>
      <c r="J315" s="679"/>
      <c r="K315" s="679"/>
      <c r="L315" s="679"/>
      <c r="M315" s="679"/>
      <c r="N315" s="679"/>
      <c r="O315" s="687"/>
      <c r="P315" s="652">
        <f>SUM(P316)</f>
        <v>500000</v>
      </c>
      <c r="Q315" s="2517">
        <f>P315</f>
        <v>500000</v>
      </c>
      <c r="R315" s="653">
        <v>0</v>
      </c>
      <c r="S315" s="654">
        <f t="shared" ref="S315" si="127">Q315-R315</f>
        <v>500000</v>
      </c>
      <c r="T315" s="2518"/>
    </row>
    <row r="316" spans="1:20" ht="15" customHeight="1">
      <c r="A316" s="617"/>
      <c r="B316" s="632"/>
      <c r="C316" s="719"/>
      <c r="D316" s="632"/>
      <c r="E316" s="3358"/>
      <c r="F316" s="1509" t="s">
        <v>1274</v>
      </c>
      <c r="G316" s="1552">
        <v>100000</v>
      </c>
      <c r="H316" s="1168" t="s">
        <v>21</v>
      </c>
      <c r="I316" s="2295">
        <v>5</v>
      </c>
      <c r="J316" s="1168"/>
      <c r="K316" s="1168"/>
      <c r="L316" s="1554"/>
      <c r="M316" s="1168"/>
      <c r="N316" s="692"/>
      <c r="O316" s="692" t="s">
        <v>22</v>
      </c>
      <c r="P316" s="665">
        <f>ROUNDUP(G316*I316,-3)</f>
        <v>500000</v>
      </c>
      <c r="Q316" s="666"/>
      <c r="R316" s="694"/>
      <c r="S316" s="695"/>
      <c r="T316" s="696"/>
    </row>
    <row r="317" spans="1:20" ht="15" customHeight="1">
      <c r="A317" s="617"/>
      <c r="B317" s="632"/>
      <c r="C317" s="719"/>
      <c r="D317" s="632"/>
      <c r="E317" s="3358"/>
      <c r="F317" s="1413" t="s">
        <v>1275</v>
      </c>
      <c r="G317" s="679"/>
      <c r="H317" s="649"/>
      <c r="I317" s="679"/>
      <c r="J317" s="679"/>
      <c r="K317" s="679"/>
      <c r="L317" s="679"/>
      <c r="M317" s="679"/>
      <c r="N317" s="679"/>
      <c r="O317" s="651"/>
      <c r="P317" s="2562">
        <f>SUM(P318:P320)</f>
        <v>3300000</v>
      </c>
      <c r="Q317" s="2517">
        <f>P317</f>
        <v>3300000</v>
      </c>
      <c r="R317" s="653">
        <v>0</v>
      </c>
      <c r="S317" s="654">
        <f t="shared" ref="S317" si="128">Q317-R317</f>
        <v>3300000</v>
      </c>
      <c r="T317" s="2518"/>
    </row>
    <row r="318" spans="1:20" ht="15" customHeight="1">
      <c r="A318" s="617"/>
      <c r="B318" s="632"/>
      <c r="C318" s="719"/>
      <c r="D318" s="632"/>
      <c r="E318" s="3358"/>
      <c r="F318" s="1423" t="s">
        <v>2384</v>
      </c>
      <c r="G318" s="2188">
        <v>250000</v>
      </c>
      <c r="H318" s="659" t="s">
        <v>21</v>
      </c>
      <c r="I318" s="2563">
        <v>6</v>
      </c>
      <c r="J318" s="1168"/>
      <c r="K318" s="1168"/>
      <c r="L318" s="1554"/>
      <c r="M318" s="1168"/>
      <c r="N318" s="692"/>
      <c r="O318" s="664" t="s">
        <v>2376</v>
      </c>
      <c r="P318" s="665">
        <f>ROUNDUP(G318*I318,-3)</f>
        <v>1500000</v>
      </c>
      <c r="Q318" s="666"/>
      <c r="R318" s="694"/>
      <c r="S318" s="695"/>
      <c r="T318" s="696"/>
    </row>
    <row r="319" spans="1:20" ht="15" customHeight="1">
      <c r="A319" s="617"/>
      <c r="B319" s="632"/>
      <c r="C319" s="719"/>
      <c r="D319" s="632"/>
      <c r="E319" s="3291"/>
      <c r="F319" s="1423" t="s">
        <v>2385</v>
      </c>
      <c r="G319" s="2188">
        <v>200000</v>
      </c>
      <c r="H319" s="659" t="s">
        <v>21</v>
      </c>
      <c r="I319" s="2563">
        <v>6</v>
      </c>
      <c r="J319" s="1168"/>
      <c r="K319" s="1168"/>
      <c r="L319" s="1554"/>
      <c r="M319" s="1168"/>
      <c r="N319" s="692"/>
      <c r="O319" s="664" t="s">
        <v>22</v>
      </c>
      <c r="P319" s="665">
        <f>ROUNDUP(G319*I319,-3)</f>
        <v>1200000</v>
      </c>
      <c r="Q319" s="666"/>
      <c r="R319" s="694"/>
      <c r="S319" s="695"/>
      <c r="T319" s="696"/>
    </row>
    <row r="320" spans="1:20" ht="15" customHeight="1">
      <c r="A320" s="617"/>
      <c r="B320" s="632"/>
      <c r="C320" s="719"/>
      <c r="D320" s="632"/>
      <c r="F320" s="1423" t="s">
        <v>2386</v>
      </c>
      <c r="G320" s="2188">
        <v>100000</v>
      </c>
      <c r="H320" s="659" t="s">
        <v>21</v>
      </c>
      <c r="I320" s="2563">
        <v>6</v>
      </c>
      <c r="J320" s="1168"/>
      <c r="K320" s="1168"/>
      <c r="L320" s="1554"/>
      <c r="M320" s="1168"/>
      <c r="N320" s="692"/>
      <c r="O320" s="664" t="s">
        <v>22</v>
      </c>
      <c r="P320" s="665">
        <f>ROUNDUP(G320*I320,-3)</f>
        <v>600000</v>
      </c>
      <c r="Q320" s="666"/>
      <c r="R320" s="694"/>
      <c r="S320" s="695"/>
      <c r="T320" s="696"/>
    </row>
    <row r="321" spans="1:24" s="128" customFormat="1" ht="15" customHeight="1">
      <c r="A321" s="778"/>
      <c r="B321" s="786"/>
      <c r="C321" s="3634" t="s">
        <v>127</v>
      </c>
      <c r="D321" s="3635"/>
      <c r="E321" s="3635"/>
      <c r="F321" s="3635"/>
      <c r="G321" s="3635"/>
      <c r="H321" s="3635"/>
      <c r="I321" s="3635"/>
      <c r="J321" s="3635"/>
      <c r="K321" s="3635"/>
      <c r="L321" s="3635"/>
      <c r="M321" s="3635"/>
      <c r="N321" s="3635"/>
      <c r="O321" s="3635"/>
      <c r="P321" s="3636"/>
      <c r="Q321" s="872">
        <f>Q322</f>
        <v>66616000</v>
      </c>
      <c r="R321" s="872">
        <f>R322</f>
        <v>69967000</v>
      </c>
      <c r="S321" s="867">
        <f>Q321-R321</f>
        <v>-3351000</v>
      </c>
      <c r="T321" s="868">
        <f t="shared" ref="T321:T324" si="129">S321/R321</f>
        <v>-4.7894007174810981E-2</v>
      </c>
    </row>
    <row r="322" spans="1:24" s="128" customFormat="1" ht="15" customHeight="1">
      <c r="A322" s="778"/>
      <c r="B322" s="786"/>
      <c r="C322" s="786"/>
      <c r="D322" s="684" t="s">
        <v>223</v>
      </c>
      <c r="E322" s="2229"/>
      <c r="F322" s="1269"/>
      <c r="G322" s="636"/>
      <c r="H322" s="635"/>
      <c r="I322" s="635"/>
      <c r="J322" s="635"/>
      <c r="K322" s="635"/>
      <c r="L322" s="1268"/>
      <c r="M322" s="635"/>
      <c r="N322" s="637"/>
      <c r="O322" s="637"/>
      <c r="P322" s="635"/>
      <c r="Q322" s="638">
        <f>Q323</f>
        <v>66616000</v>
      </c>
      <c r="R322" s="638">
        <f>R323</f>
        <v>69967000</v>
      </c>
      <c r="S322" s="793">
        <f>Q322-R322</f>
        <v>-3351000</v>
      </c>
      <c r="T322" s="873">
        <f t="shared" si="129"/>
        <v>-4.7894007174810981E-2</v>
      </c>
    </row>
    <row r="323" spans="1:24" s="128" customFormat="1" ht="15" customHeight="1">
      <c r="A323" s="778"/>
      <c r="B323" s="786"/>
      <c r="C323" s="786"/>
      <c r="D323" s="786"/>
      <c r="E323" s="3750" t="s">
        <v>3011</v>
      </c>
      <c r="F323" s="3751"/>
      <c r="G323" s="3751"/>
      <c r="H323" s="3751"/>
      <c r="I323" s="3751"/>
      <c r="J323" s="3751"/>
      <c r="K323" s="3751"/>
      <c r="L323" s="3751"/>
      <c r="M323" s="3751"/>
      <c r="N323" s="3751"/>
      <c r="O323" s="3751"/>
      <c r="P323" s="3752"/>
      <c r="Q323" s="645">
        <f>ROUNDUP(P324+P326,-3)</f>
        <v>66616000</v>
      </c>
      <c r="R323" s="645">
        <v>69967000</v>
      </c>
      <c r="S323" s="646">
        <f>Q323-R323</f>
        <v>-3351000</v>
      </c>
      <c r="T323" s="647">
        <f t="shared" si="129"/>
        <v>-4.7894007174810981E-2</v>
      </c>
    </row>
    <row r="324" spans="1:24" s="128" customFormat="1" ht="15" customHeight="1">
      <c r="A324" s="778"/>
      <c r="B324" s="786"/>
      <c r="C324" s="786"/>
      <c r="D324" s="786"/>
      <c r="E324" s="1164"/>
      <c r="F324" s="1507" t="s">
        <v>1277</v>
      </c>
      <c r="G324" s="686"/>
      <c r="H324" s="679"/>
      <c r="I324" s="679"/>
      <c r="J324" s="679"/>
      <c r="K324" s="679"/>
      <c r="L324" s="1508"/>
      <c r="M324" s="679"/>
      <c r="N324" s="687"/>
      <c r="O324" s="687"/>
      <c r="P324" s="681">
        <f>SUM(P325)</f>
        <v>200000</v>
      </c>
      <c r="Q324" s="2517">
        <f>P324</f>
        <v>200000</v>
      </c>
      <c r="R324" s="653">
        <v>200000</v>
      </c>
      <c r="S324" s="654">
        <f t="shared" ref="S324" si="130">Q324-R324</f>
        <v>0</v>
      </c>
      <c r="T324" s="2518">
        <f t="shared" si="129"/>
        <v>0</v>
      </c>
    </row>
    <row r="325" spans="1:24" s="128" customFormat="1" ht="15" customHeight="1">
      <c r="A325" s="778"/>
      <c r="B325" s="786"/>
      <c r="C325" s="786"/>
      <c r="D325" s="786"/>
      <c r="E325" s="897"/>
      <c r="F325" s="1511" t="s">
        <v>20</v>
      </c>
      <c r="G325" s="880">
        <v>200000</v>
      </c>
      <c r="H325" s="691" t="s">
        <v>21</v>
      </c>
      <c r="I325" s="878">
        <v>1</v>
      </c>
      <c r="J325" s="691"/>
      <c r="K325" s="881"/>
      <c r="L325" s="1510"/>
      <c r="M325" s="881"/>
      <c r="N325" s="701"/>
      <c r="O325" s="701" t="s">
        <v>22</v>
      </c>
      <c r="P325" s="882">
        <f>ROUNDUP(G325*I325,-3)</f>
        <v>200000</v>
      </c>
      <c r="Q325" s="694"/>
      <c r="R325" s="694"/>
      <c r="S325" s="695"/>
      <c r="T325" s="696"/>
    </row>
    <row r="326" spans="1:24" s="128" customFormat="1" ht="15" customHeight="1">
      <c r="A326" s="778"/>
      <c r="B326" s="786"/>
      <c r="C326" s="786"/>
      <c r="D326" s="786"/>
      <c r="E326" s="786"/>
      <c r="F326" s="1507" t="s">
        <v>1278</v>
      </c>
      <c r="G326" s="686"/>
      <c r="H326" s="679"/>
      <c r="I326" s="679"/>
      <c r="J326" s="679"/>
      <c r="K326" s="679"/>
      <c r="L326" s="1508"/>
      <c r="M326" s="679"/>
      <c r="N326" s="687"/>
      <c r="O326" s="687"/>
      <c r="P326" s="681">
        <f>SUM(P327)</f>
        <v>66416000</v>
      </c>
      <c r="Q326" s="2517">
        <f>P326</f>
        <v>66416000</v>
      </c>
      <c r="R326" s="653">
        <v>69767000</v>
      </c>
      <c r="S326" s="654">
        <f t="shared" ref="S326" si="131">Q326-R326</f>
        <v>-3351000</v>
      </c>
      <c r="T326" s="2518">
        <f t="shared" ref="T326" si="132">S326/R326</f>
        <v>-4.8031304198259919E-2</v>
      </c>
    </row>
    <row r="327" spans="1:24" s="128" customFormat="1" ht="15" customHeight="1" thickBot="1">
      <c r="A327" s="898"/>
      <c r="B327" s="899"/>
      <c r="C327" s="899"/>
      <c r="D327" s="899"/>
      <c r="E327" s="3298"/>
      <c r="F327" s="1583" t="s">
        <v>1279</v>
      </c>
      <c r="G327" s="903">
        <v>66416000</v>
      </c>
      <c r="H327" s="904" t="s">
        <v>21</v>
      </c>
      <c r="I327" s="2573">
        <v>1</v>
      </c>
      <c r="J327" s="904"/>
      <c r="K327" s="906"/>
      <c r="L327" s="2270"/>
      <c r="M327" s="906"/>
      <c r="N327" s="907"/>
      <c r="O327" s="907" t="s">
        <v>22</v>
      </c>
      <c r="P327" s="908">
        <f>ROUNDUP(G327*I327,-3)</f>
        <v>66416000</v>
      </c>
      <c r="Q327" s="909"/>
      <c r="R327" s="909"/>
      <c r="S327" s="910"/>
      <c r="T327" s="911"/>
      <c r="X327" s="128" t="s">
        <v>2295</v>
      </c>
    </row>
    <row r="328" spans="1:24">
      <c r="R328" s="965"/>
    </row>
    <row r="329" spans="1:24">
      <c r="P329" s="2090"/>
      <c r="R329" s="965"/>
    </row>
    <row r="330" spans="1:24">
      <c r="R330" s="965"/>
    </row>
    <row r="331" spans="1:24">
      <c r="P331" s="2090"/>
      <c r="R331" s="965"/>
    </row>
    <row r="332" spans="1:24">
      <c r="Q332" s="965" t="s">
        <v>2875</v>
      </c>
      <c r="R332" s="965"/>
    </row>
    <row r="333" spans="1:24">
      <c r="P333" s="2090"/>
    </row>
    <row r="336" spans="1:24">
      <c r="P336" s="2090"/>
    </row>
  </sheetData>
  <mergeCells count="62">
    <mergeCell ref="I37:J37"/>
    <mergeCell ref="I27:J27"/>
    <mergeCell ref="E11:P11"/>
    <mergeCell ref="E90:P90"/>
    <mergeCell ref="E70:P70"/>
    <mergeCell ref="E63:P63"/>
    <mergeCell ref="I38:J38"/>
    <mergeCell ref="I30:J30"/>
    <mergeCell ref="I34:J34"/>
    <mergeCell ref="I35:J35"/>
    <mergeCell ref="I36:J36"/>
    <mergeCell ref="A1:T1"/>
    <mergeCell ref="S2:T2"/>
    <mergeCell ref="A3:E3"/>
    <mergeCell ref="G3:P4"/>
    <mergeCell ref="Q3:Q4"/>
    <mergeCell ref="R3:R4"/>
    <mergeCell ref="S3:S4"/>
    <mergeCell ref="T3:T4"/>
    <mergeCell ref="E111:P111"/>
    <mergeCell ref="E107:P107"/>
    <mergeCell ref="E104:P104"/>
    <mergeCell ref="E97:P97"/>
    <mergeCell ref="E93:P93"/>
    <mergeCell ref="E323:P323"/>
    <mergeCell ref="E242:P242"/>
    <mergeCell ref="E245:P245"/>
    <mergeCell ref="E249:P249"/>
    <mergeCell ref="E252:P252"/>
    <mergeCell ref="E257:P257"/>
    <mergeCell ref="E197:P197"/>
    <mergeCell ref="E207:P207"/>
    <mergeCell ref="E218:P218"/>
    <mergeCell ref="C321:P321"/>
    <mergeCell ref="C205:P205"/>
    <mergeCell ref="E264:P264"/>
    <mergeCell ref="E269:P269"/>
    <mergeCell ref="E288:P288"/>
    <mergeCell ref="E230:P230"/>
    <mergeCell ref="E237:P237"/>
    <mergeCell ref="E234:P234"/>
    <mergeCell ref="I222:J222"/>
    <mergeCell ref="I223:J223"/>
    <mergeCell ref="I224:J224"/>
    <mergeCell ref="I220:J220"/>
    <mergeCell ref="I221:J221"/>
    <mergeCell ref="C7:P7"/>
    <mergeCell ref="E39:P39"/>
    <mergeCell ref="E132:P132"/>
    <mergeCell ref="E134:P134"/>
    <mergeCell ref="E190:P190"/>
    <mergeCell ref="C121:P121"/>
    <mergeCell ref="E10:P10"/>
    <mergeCell ref="E9:P9"/>
    <mergeCell ref="E60:P60"/>
    <mergeCell ref="E54:P54"/>
    <mergeCell ref="E49:P49"/>
    <mergeCell ref="E32:P32"/>
    <mergeCell ref="E28:P28"/>
    <mergeCell ref="K51:L51"/>
    <mergeCell ref="E123:P123"/>
    <mergeCell ref="E117:P11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1" fitToHeight="0" orientation="landscape" r:id="rId1"/>
  <headerFooter scaleWithDoc="0"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0070C0"/>
    <pageSetUpPr fitToPage="1"/>
  </sheetPr>
  <dimension ref="A1:Y112"/>
  <sheetViews>
    <sheetView view="pageBreakPreview" zoomScaleNormal="85" zoomScaleSheetLayoutView="100" workbookViewId="0">
      <pane ySplit="8" topLeftCell="A58" activePane="bottomLeft" state="frozen"/>
      <selection activeCell="O40" sqref="O39:O40"/>
      <selection pane="bottomLeft" activeCell="Q73" sqref="Q73"/>
    </sheetView>
  </sheetViews>
  <sheetFormatPr defaultColWidth="9" defaultRowHeight="16.5"/>
  <cols>
    <col min="1" max="1" width="3.625" style="128" customWidth="1"/>
    <col min="2" max="4" width="3.625" style="839" customWidth="1"/>
    <col min="5" max="5" width="10.625" style="897" customWidth="1"/>
    <col min="6" max="6" width="29.625" style="1256" customWidth="1"/>
    <col min="7" max="7" width="12.5" style="840" customWidth="1"/>
    <col min="8" max="8" width="2.125" style="128" customWidth="1"/>
    <col min="9" max="9" width="8.625" style="2429" customWidth="1"/>
    <col min="10" max="10" width="2.125" style="128" customWidth="1"/>
    <col min="11" max="11" width="5.875" style="128" customWidth="1"/>
    <col min="12" max="12" width="2.625" style="1257" customWidth="1"/>
    <col min="13" max="13" width="5.375" style="128" customWidth="1"/>
    <col min="14" max="14" width="2.75" style="841" customWidth="1"/>
    <col min="15" max="15" width="2.625" style="841" customWidth="1"/>
    <col min="16" max="16" width="13.625" style="128" customWidth="1"/>
    <col min="17" max="17" width="10.625" style="842" customWidth="1"/>
    <col min="18" max="18" width="10.625" style="843" customWidth="1"/>
    <col min="19" max="19" width="10.625" style="1174" customWidth="1"/>
    <col min="20" max="20" width="10.625" style="1175" customWidth="1"/>
    <col min="21" max="21" width="9" style="128"/>
    <col min="22" max="22" width="10.75" style="128" bestFit="1" customWidth="1"/>
    <col min="23" max="23" width="12" style="128" bestFit="1" customWidth="1"/>
    <col min="24" max="25" width="9.125" style="128" bestFit="1" customWidth="1"/>
    <col min="26" max="16384" width="9" style="128"/>
  </cols>
  <sheetData>
    <row r="1" spans="1:23" ht="35.1" customHeight="1">
      <c r="A1" s="3679" t="s">
        <v>2096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  <c r="T1" s="3679"/>
    </row>
    <row r="2" spans="1:23" ht="15" customHeight="1" thickBot="1">
      <c r="A2" s="128" t="s">
        <v>245</v>
      </c>
      <c r="E2" s="792"/>
      <c r="S2" s="3680" t="s">
        <v>246</v>
      </c>
      <c r="T2" s="3680"/>
    </row>
    <row r="3" spans="1:23" s="841" customFormat="1" ht="14.45" customHeight="1">
      <c r="A3" s="3743" t="s">
        <v>2</v>
      </c>
      <c r="B3" s="3644"/>
      <c r="C3" s="3644"/>
      <c r="D3" s="3644"/>
      <c r="E3" s="3644"/>
      <c r="F3" s="1258"/>
      <c r="G3" s="3645" t="s">
        <v>3</v>
      </c>
      <c r="H3" s="3645"/>
      <c r="I3" s="3645"/>
      <c r="J3" s="3645"/>
      <c r="K3" s="3645"/>
      <c r="L3" s="3645"/>
      <c r="M3" s="3645"/>
      <c r="N3" s="3645"/>
      <c r="O3" s="3645"/>
      <c r="P3" s="3646"/>
      <c r="Q3" s="3649" t="s">
        <v>4</v>
      </c>
      <c r="R3" s="3651" t="s">
        <v>326</v>
      </c>
      <c r="S3" s="3746" t="s">
        <v>5</v>
      </c>
      <c r="T3" s="3655" t="s">
        <v>6</v>
      </c>
    </row>
    <row r="4" spans="1:23" s="841" customFormat="1" ht="14.45" customHeight="1" thickBot="1">
      <c r="A4" s="502" t="s">
        <v>7</v>
      </c>
      <c r="B4" s="503" t="s">
        <v>8</v>
      </c>
      <c r="C4" s="503" t="s">
        <v>9</v>
      </c>
      <c r="D4" s="503" t="s">
        <v>10</v>
      </c>
      <c r="E4" s="503" t="s">
        <v>11</v>
      </c>
      <c r="F4" s="1259" t="s">
        <v>12</v>
      </c>
      <c r="G4" s="3647"/>
      <c r="H4" s="3647"/>
      <c r="I4" s="3647"/>
      <c r="J4" s="3647"/>
      <c r="K4" s="3647"/>
      <c r="L4" s="3647"/>
      <c r="M4" s="3647"/>
      <c r="N4" s="3647"/>
      <c r="O4" s="3647"/>
      <c r="P4" s="3648"/>
      <c r="Q4" s="3650"/>
      <c r="R4" s="3652"/>
      <c r="S4" s="3747"/>
      <c r="T4" s="3656"/>
    </row>
    <row r="5" spans="1:23" ht="14.45" customHeight="1" thickBot="1">
      <c r="A5" s="2430" t="s">
        <v>247</v>
      </c>
      <c r="B5" s="1261"/>
      <c r="C5" s="1261"/>
      <c r="D5" s="1261"/>
      <c r="E5" s="1261"/>
      <c r="F5" s="1262"/>
      <c r="G5" s="2431"/>
      <c r="H5" s="2432"/>
      <c r="I5" s="2433"/>
      <c r="J5" s="2432"/>
      <c r="K5" s="2432"/>
      <c r="L5" s="1261"/>
      <c r="M5" s="2432"/>
      <c r="N5" s="2434"/>
      <c r="O5" s="2434"/>
      <c r="P5" s="2432"/>
      <c r="Q5" s="2435">
        <f>Q6</f>
        <v>61498000</v>
      </c>
      <c r="R5" s="2435">
        <f>R6</f>
        <v>656844000</v>
      </c>
      <c r="S5" s="1307">
        <f t="shared" ref="S5:S11" si="0">Q5-R5</f>
        <v>-595346000</v>
      </c>
      <c r="T5" s="1308">
        <f>S5/R5</f>
        <v>-0.90637350725590859</v>
      </c>
      <c r="V5" s="128">
        <v>63370000</v>
      </c>
      <c r="W5" s="128">
        <v>656844000</v>
      </c>
    </row>
    <row r="6" spans="1:23" ht="14.45" customHeight="1">
      <c r="A6" s="778"/>
      <c r="B6" s="779" t="s">
        <v>248</v>
      </c>
      <c r="C6" s="780"/>
      <c r="D6" s="780"/>
      <c r="E6" s="780"/>
      <c r="F6" s="1264"/>
      <c r="G6" s="781"/>
      <c r="H6" s="780"/>
      <c r="I6" s="2436"/>
      <c r="J6" s="780"/>
      <c r="K6" s="780"/>
      <c r="L6" s="1868"/>
      <c r="M6" s="780"/>
      <c r="N6" s="782"/>
      <c r="O6" s="782"/>
      <c r="P6" s="780"/>
      <c r="Q6" s="783">
        <f>Q7+Q77+Q106+Q101</f>
        <v>61498000</v>
      </c>
      <c r="R6" s="783">
        <f>R7+R77+R106+R101</f>
        <v>656844000</v>
      </c>
      <c r="S6" s="2437">
        <f t="shared" si="0"/>
        <v>-595346000</v>
      </c>
      <c r="T6" s="2438">
        <f>S6/R6</f>
        <v>-0.90637350725590859</v>
      </c>
      <c r="V6" s="1120">
        <f>Q5-V5</f>
        <v>-1872000</v>
      </c>
      <c r="W6" s="1120">
        <f>R5-W5</f>
        <v>0</v>
      </c>
    </row>
    <row r="7" spans="1:23" ht="14.45" customHeight="1">
      <c r="A7" s="778"/>
      <c r="B7" s="844"/>
      <c r="C7" s="787" t="s">
        <v>3168</v>
      </c>
      <c r="D7" s="787"/>
      <c r="E7" s="787"/>
      <c r="F7" s="1266"/>
      <c r="G7" s="789"/>
      <c r="H7" s="787"/>
      <c r="I7" s="2439"/>
      <c r="J7" s="787"/>
      <c r="K7" s="787"/>
      <c r="L7" s="1564"/>
      <c r="M7" s="787"/>
      <c r="N7" s="790"/>
      <c r="O7" s="790"/>
      <c r="P7" s="787"/>
      <c r="Q7" s="791">
        <f>Q8+Q17+Q73</f>
        <v>61258000</v>
      </c>
      <c r="R7" s="791">
        <f>R8+R17+R73</f>
        <v>247468000</v>
      </c>
      <c r="S7" s="784">
        <f t="shared" si="0"/>
        <v>-186210000</v>
      </c>
      <c r="T7" s="2440">
        <f t="shared" ref="T7:T8" si="1">S7/R7</f>
        <v>-0.75246092424070987</v>
      </c>
    </row>
    <row r="8" spans="1:23" ht="14.45" customHeight="1">
      <c r="A8" s="778"/>
      <c r="B8" s="786"/>
      <c r="C8" s="792"/>
      <c r="D8" s="1268" t="s">
        <v>250</v>
      </c>
      <c r="E8" s="2229"/>
      <c r="F8" s="1269"/>
      <c r="G8" s="636"/>
      <c r="H8" s="635"/>
      <c r="I8" s="2441"/>
      <c r="J8" s="635"/>
      <c r="K8" s="635"/>
      <c r="L8" s="1268"/>
      <c r="M8" s="635"/>
      <c r="N8" s="637"/>
      <c r="O8" s="637"/>
      <c r="P8" s="635"/>
      <c r="Q8" s="638">
        <f>Q9+Q10+Q11+Q14</f>
        <v>21248000</v>
      </c>
      <c r="R8" s="638">
        <f>R9+R10+R11+R14</f>
        <v>191160000</v>
      </c>
      <c r="S8" s="793">
        <f t="shared" si="0"/>
        <v>-169912000</v>
      </c>
      <c r="T8" s="873">
        <f t="shared" si="1"/>
        <v>-0.88884703912952501</v>
      </c>
    </row>
    <row r="9" spans="1:23" ht="14.45" customHeight="1">
      <c r="A9" s="778"/>
      <c r="B9" s="786"/>
      <c r="C9" s="792"/>
      <c r="D9" s="786"/>
      <c r="E9" s="3637" t="s">
        <v>184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8"/>
      <c r="P9" s="3639"/>
      <c r="Q9" s="645">
        <v>0</v>
      </c>
      <c r="R9" s="645">
        <v>98811000</v>
      </c>
      <c r="S9" s="646">
        <f t="shared" si="0"/>
        <v>-98811000</v>
      </c>
      <c r="T9" s="647">
        <f>S9/R9</f>
        <v>-1</v>
      </c>
    </row>
    <row r="10" spans="1:23" ht="14.45" customHeight="1">
      <c r="A10" s="778"/>
      <c r="B10" s="786"/>
      <c r="C10" s="792"/>
      <c r="D10" s="786"/>
      <c r="E10" s="3637" t="s">
        <v>3001</v>
      </c>
      <c r="F10" s="3638"/>
      <c r="G10" s="3638"/>
      <c r="H10" s="3638"/>
      <c r="I10" s="3638"/>
      <c r="J10" s="3638"/>
      <c r="K10" s="3638"/>
      <c r="L10" s="3638"/>
      <c r="M10" s="3638"/>
      <c r="N10" s="3638"/>
      <c r="O10" s="3638"/>
      <c r="P10" s="3639"/>
      <c r="Q10" s="645">
        <v>0</v>
      </c>
      <c r="R10" s="645">
        <v>60219000</v>
      </c>
      <c r="S10" s="646">
        <f t="shared" si="0"/>
        <v>-60219000</v>
      </c>
      <c r="T10" s="647">
        <f t="shared" ref="T10" si="2">S10/R10</f>
        <v>-1</v>
      </c>
    </row>
    <row r="11" spans="1:23" ht="14.45" customHeight="1">
      <c r="A11" s="778"/>
      <c r="B11" s="786"/>
      <c r="C11" s="792"/>
      <c r="D11" s="786"/>
      <c r="E11" s="3637" t="s">
        <v>432</v>
      </c>
      <c r="F11" s="3638"/>
      <c r="G11" s="3638"/>
      <c r="H11" s="3638"/>
      <c r="I11" s="3638"/>
      <c r="J11" s="3638"/>
      <c r="K11" s="3638"/>
      <c r="L11" s="3638"/>
      <c r="M11" s="3638"/>
      <c r="N11" s="3638"/>
      <c r="O11" s="3638"/>
      <c r="P11" s="3639"/>
      <c r="Q11" s="1049">
        <f>Q12</f>
        <v>21248000</v>
      </c>
      <c r="R11" s="1049">
        <v>18887000</v>
      </c>
      <c r="S11" s="1050">
        <f t="shared" si="0"/>
        <v>2361000</v>
      </c>
      <c r="T11" s="1051">
        <f t="shared" ref="T11" si="3">S11/R11</f>
        <v>0.12500661830888971</v>
      </c>
    </row>
    <row r="12" spans="1:23" ht="14.45" customHeight="1">
      <c r="A12" s="778"/>
      <c r="B12" s="786"/>
      <c r="C12" s="792"/>
      <c r="D12" s="786"/>
      <c r="F12" s="2002" t="s">
        <v>1280</v>
      </c>
      <c r="G12" s="1004"/>
      <c r="H12" s="992"/>
      <c r="I12" s="992"/>
      <c r="J12" s="992"/>
      <c r="K12" s="992"/>
      <c r="L12" s="2003"/>
      <c r="M12" s="992"/>
      <c r="N12" s="1022"/>
      <c r="O12" s="1022"/>
      <c r="P12" s="2442">
        <f>SUM(P13:P13)</f>
        <v>21248000</v>
      </c>
      <c r="Q12" s="1018">
        <f>P12</f>
        <v>21248000</v>
      </c>
      <c r="R12" s="2443">
        <v>18887000</v>
      </c>
      <c r="S12" s="1019">
        <f t="shared" ref="S12" si="4">Q12-R12</f>
        <v>2361000</v>
      </c>
      <c r="T12" s="1020">
        <f t="shared" ref="T12" si="5">S12/R12</f>
        <v>0.12500661830888971</v>
      </c>
    </row>
    <row r="13" spans="1:23" ht="14.45" customHeight="1">
      <c r="A13" s="778"/>
      <c r="B13" s="786"/>
      <c r="C13" s="792"/>
      <c r="D13" s="786"/>
      <c r="F13" s="1522" t="s">
        <v>1281</v>
      </c>
      <c r="G13" s="2035">
        <v>9080</v>
      </c>
      <c r="H13" s="996" t="s">
        <v>1282</v>
      </c>
      <c r="I13" s="2444">
        <v>180</v>
      </c>
      <c r="J13" s="996" t="s">
        <v>21</v>
      </c>
      <c r="K13" s="1000">
        <v>13</v>
      </c>
      <c r="L13" s="2036"/>
      <c r="M13" s="1000"/>
      <c r="N13" s="1001"/>
      <c r="O13" s="1001" t="s">
        <v>32</v>
      </c>
      <c r="P13" s="2037">
        <f>ROUNDUP(G13*I13*K13,-3)</f>
        <v>21248000</v>
      </c>
      <c r="Q13" s="2143"/>
      <c r="R13" s="2445"/>
      <c r="S13" s="2144"/>
      <c r="T13" s="2446"/>
      <c r="W13" s="1120"/>
    </row>
    <row r="14" spans="1:23" ht="14.45" customHeight="1">
      <c r="A14" s="778"/>
      <c r="B14" s="786"/>
      <c r="C14" s="792"/>
      <c r="D14" s="786"/>
      <c r="E14" s="3637" t="s">
        <v>185</v>
      </c>
      <c r="F14" s="3638"/>
      <c r="G14" s="3638"/>
      <c r="H14" s="3638"/>
      <c r="I14" s="3638"/>
      <c r="J14" s="3638"/>
      <c r="K14" s="3638"/>
      <c r="L14" s="3638"/>
      <c r="M14" s="3638"/>
      <c r="N14" s="3638"/>
      <c r="O14" s="3638"/>
      <c r="P14" s="3639"/>
      <c r="Q14" s="645">
        <f>SUM(P15)</f>
        <v>0</v>
      </c>
      <c r="R14" s="645">
        <v>13243000</v>
      </c>
      <c r="S14" s="646">
        <f>Q14-R14</f>
        <v>-13243000</v>
      </c>
      <c r="T14" s="647">
        <f t="shared" ref="T14:T37" si="6">S14/R14</f>
        <v>-1</v>
      </c>
    </row>
    <row r="15" spans="1:23" ht="14.45" hidden="1" customHeight="1">
      <c r="A15" s="778"/>
      <c r="B15" s="786"/>
      <c r="C15" s="792"/>
      <c r="D15" s="786"/>
      <c r="F15" s="884"/>
      <c r="G15" s="1059"/>
      <c r="H15" s="845"/>
      <c r="I15" s="2447"/>
      <c r="J15" s="845"/>
      <c r="K15" s="845"/>
      <c r="L15" s="2448"/>
      <c r="M15" s="845"/>
      <c r="N15" s="922"/>
      <c r="O15" s="922"/>
      <c r="P15" s="812"/>
      <c r="Q15" s="858"/>
      <c r="R15" s="858"/>
      <c r="S15" s="859"/>
      <c r="T15" s="891"/>
    </row>
    <row r="16" spans="1:23" ht="14.45" hidden="1" customHeight="1">
      <c r="A16" s="778"/>
      <c r="B16" s="786"/>
      <c r="C16" s="792"/>
      <c r="D16" s="786"/>
      <c r="E16" s="3282"/>
      <c r="F16" s="890"/>
      <c r="G16" s="855"/>
      <c r="H16" s="845"/>
      <c r="I16" s="3762"/>
      <c r="J16" s="3762"/>
      <c r="K16" s="856"/>
      <c r="L16" s="1979"/>
      <c r="M16" s="856"/>
      <c r="N16" s="922"/>
      <c r="O16" s="922"/>
      <c r="P16" s="857"/>
      <c r="Q16" s="858"/>
      <c r="R16" s="858"/>
      <c r="S16" s="859"/>
      <c r="T16" s="891"/>
    </row>
    <row r="17" spans="1:23" ht="14.45" customHeight="1">
      <c r="A17" s="778"/>
      <c r="B17" s="786"/>
      <c r="C17" s="792"/>
      <c r="D17" s="635" t="s">
        <v>186</v>
      </c>
      <c r="E17" s="2229"/>
      <c r="F17" s="1269"/>
      <c r="G17" s="636"/>
      <c r="H17" s="635"/>
      <c r="I17" s="2441"/>
      <c r="J17" s="635"/>
      <c r="K17" s="635"/>
      <c r="L17" s="1268"/>
      <c r="M17" s="635"/>
      <c r="N17" s="637"/>
      <c r="O17" s="637"/>
      <c r="P17" s="635"/>
      <c r="Q17" s="638">
        <f>Q18+Q30+Q33+Q36+Q42+Q43+Q46+Q50+Q53+Q56+Q59+Q64+Q69</f>
        <v>38310000</v>
      </c>
      <c r="R17" s="638">
        <f>R18+R30+R33+R36+R42+R43+R46+R50+R53+R56+R59+R64+R69</f>
        <v>51208000</v>
      </c>
      <c r="S17" s="793">
        <f>Q17-R17</f>
        <v>-12898000</v>
      </c>
      <c r="T17" s="2449">
        <f t="shared" si="6"/>
        <v>-0.2518747070770192</v>
      </c>
    </row>
    <row r="18" spans="1:23" ht="14.45" customHeight="1">
      <c r="A18" s="778"/>
      <c r="B18" s="786"/>
      <c r="C18" s="792"/>
      <c r="D18" s="786"/>
      <c r="E18" s="3637" t="s">
        <v>55</v>
      </c>
      <c r="F18" s="3638"/>
      <c r="G18" s="3638"/>
      <c r="H18" s="3638"/>
      <c r="I18" s="3638"/>
      <c r="J18" s="3638"/>
      <c r="K18" s="3638"/>
      <c r="L18" s="3638"/>
      <c r="M18" s="3638"/>
      <c r="N18" s="3638"/>
      <c r="O18" s="3638"/>
      <c r="P18" s="3639"/>
      <c r="Q18" s="645">
        <f>P19+P25+P27</f>
        <v>10239000</v>
      </c>
      <c r="R18" s="645">
        <v>25653000</v>
      </c>
      <c r="S18" s="646">
        <f>Q18-R18</f>
        <v>-15414000</v>
      </c>
      <c r="T18" s="647">
        <f t="shared" si="6"/>
        <v>-0.60086539586013332</v>
      </c>
    </row>
    <row r="19" spans="1:23" ht="14.45" customHeight="1">
      <c r="A19" s="778"/>
      <c r="B19" s="786"/>
      <c r="C19" s="792"/>
      <c r="D19" s="786"/>
      <c r="F19" s="2002" t="s">
        <v>1283</v>
      </c>
      <c r="G19" s="1004"/>
      <c r="H19" s="992"/>
      <c r="I19" s="992"/>
      <c r="J19" s="992"/>
      <c r="K19" s="992"/>
      <c r="L19" s="2003"/>
      <c r="M19" s="992"/>
      <c r="N19" s="1022"/>
      <c r="O19" s="1022"/>
      <c r="P19" s="2442">
        <f>SUM(P20:P24)</f>
        <v>2119000</v>
      </c>
      <c r="Q19" s="1018">
        <f>P19</f>
        <v>2119000</v>
      </c>
      <c r="R19" s="2443">
        <v>18653000</v>
      </c>
      <c r="S19" s="1019">
        <f t="shared" ref="S19" si="7">Q19-R19</f>
        <v>-16534000</v>
      </c>
      <c r="T19" s="1020">
        <f t="shared" si="6"/>
        <v>-0.88639897067495843</v>
      </c>
    </row>
    <row r="20" spans="1:23" ht="14.45" customHeight="1">
      <c r="A20" s="778"/>
      <c r="B20" s="786"/>
      <c r="C20" s="792"/>
      <c r="D20" s="786"/>
      <c r="E20" s="3282"/>
      <c r="F20" s="1522" t="s">
        <v>211</v>
      </c>
      <c r="G20" s="1516">
        <f>P12</f>
        <v>21248000</v>
      </c>
      <c r="H20" s="1523" t="s">
        <v>872</v>
      </c>
      <c r="I20" s="3761">
        <v>4.4999999999999998E-2</v>
      </c>
      <c r="J20" s="3761"/>
      <c r="K20" s="1524"/>
      <c r="L20" s="1525"/>
      <c r="M20" s="1524"/>
      <c r="N20" s="1526"/>
      <c r="O20" s="1526" t="s">
        <v>32</v>
      </c>
      <c r="P20" s="1527">
        <f>ROUNDUP(G20*I20,-3)</f>
        <v>957000</v>
      </c>
      <c r="Q20" s="2016"/>
      <c r="R20" s="2450"/>
      <c r="S20" s="2149"/>
      <c r="T20" s="2451"/>
    </row>
    <row r="21" spans="1:23" ht="14.45" customHeight="1">
      <c r="A21" s="778"/>
      <c r="B21" s="786"/>
      <c r="C21" s="792"/>
      <c r="D21" s="786"/>
      <c r="E21" s="3283"/>
      <c r="F21" s="1528" t="s">
        <v>1284</v>
      </c>
      <c r="G21" s="1516">
        <f>G20</f>
        <v>21248000</v>
      </c>
      <c r="H21" s="1523" t="s">
        <v>1285</v>
      </c>
      <c r="I21" s="3761">
        <v>3.1199999999999999E-2</v>
      </c>
      <c r="J21" s="3761"/>
      <c r="K21" s="1524"/>
      <c r="L21" s="1525"/>
      <c r="M21" s="1524"/>
      <c r="N21" s="1526"/>
      <c r="O21" s="1526" t="s">
        <v>1286</v>
      </c>
      <c r="P21" s="1527">
        <f>ROUNDUP(G21*I21,-3)</f>
        <v>663000</v>
      </c>
      <c r="Q21" s="2016"/>
      <c r="R21" s="2450"/>
      <c r="S21" s="2149"/>
      <c r="T21" s="2451"/>
    </row>
    <row r="22" spans="1:23" ht="14.45" customHeight="1">
      <c r="A22" s="778"/>
      <c r="B22" s="786"/>
      <c r="C22" s="792"/>
      <c r="D22" s="786"/>
      <c r="E22" s="3283"/>
      <c r="F22" s="1528" t="s">
        <v>1287</v>
      </c>
      <c r="G22" s="1516">
        <f>P21</f>
        <v>663000</v>
      </c>
      <c r="H22" s="1523" t="s">
        <v>51</v>
      </c>
      <c r="I22" s="3761">
        <v>7.3800000000000004E-2</v>
      </c>
      <c r="J22" s="3761"/>
      <c r="K22" s="1524"/>
      <c r="L22" s="1525"/>
      <c r="M22" s="1524"/>
      <c r="N22" s="1526"/>
      <c r="O22" s="1526" t="s">
        <v>1286</v>
      </c>
      <c r="P22" s="1527">
        <f>ROUNDUP(G22*I22,-3)</f>
        <v>49000</v>
      </c>
      <c r="Q22" s="2016"/>
      <c r="R22" s="2450"/>
      <c r="S22" s="2149"/>
      <c r="T22" s="2451"/>
    </row>
    <row r="23" spans="1:23" ht="14.45" customHeight="1">
      <c r="A23" s="778"/>
      <c r="B23" s="786"/>
      <c r="C23" s="792"/>
      <c r="D23" s="786"/>
      <c r="E23" s="3283"/>
      <c r="F23" s="1528" t="s">
        <v>1288</v>
      </c>
      <c r="G23" s="1516">
        <f>G20</f>
        <v>21248000</v>
      </c>
      <c r="H23" s="1523" t="s">
        <v>51</v>
      </c>
      <c r="I23" s="3761">
        <v>8.9999999999999993E-3</v>
      </c>
      <c r="J23" s="3761"/>
      <c r="K23" s="1524"/>
      <c r="L23" s="1525"/>
      <c r="M23" s="1524"/>
      <c r="N23" s="1526"/>
      <c r="O23" s="1526" t="s">
        <v>1286</v>
      </c>
      <c r="P23" s="1527">
        <f>ROUNDUP(G23*I23,-3)</f>
        <v>192000</v>
      </c>
      <c r="Q23" s="2016"/>
      <c r="R23" s="2450"/>
      <c r="S23" s="2149"/>
      <c r="T23" s="2451"/>
    </row>
    <row r="24" spans="1:23" ht="14.45" customHeight="1">
      <c r="A24" s="778"/>
      <c r="B24" s="786"/>
      <c r="C24" s="792"/>
      <c r="D24" s="786"/>
      <c r="E24" s="3283"/>
      <c r="F24" s="1528" t="s">
        <v>1289</v>
      </c>
      <c r="G24" s="1516">
        <f>G21</f>
        <v>21248000</v>
      </c>
      <c r="H24" s="1523" t="s">
        <v>1285</v>
      </c>
      <c r="I24" s="3761">
        <v>1.21E-2</v>
      </c>
      <c r="J24" s="3761"/>
      <c r="K24" s="1524"/>
      <c r="L24" s="1525"/>
      <c r="M24" s="1524"/>
      <c r="N24" s="1526"/>
      <c r="O24" s="1526" t="s">
        <v>1286</v>
      </c>
      <c r="P24" s="1527">
        <f>ROUNDUP(G24*I24,-3)</f>
        <v>258000</v>
      </c>
      <c r="Q24" s="2016"/>
      <c r="R24" s="2450"/>
      <c r="S24" s="2149"/>
      <c r="T24" s="2451"/>
    </row>
    <row r="25" spans="1:23" ht="14.45" customHeight="1">
      <c r="A25" s="778"/>
      <c r="B25" s="786"/>
      <c r="C25" s="792"/>
      <c r="D25" s="786"/>
      <c r="E25" s="3283"/>
      <c r="F25" s="2002" t="s">
        <v>212</v>
      </c>
      <c r="G25" s="1004"/>
      <c r="H25" s="992"/>
      <c r="I25" s="992"/>
      <c r="J25" s="992"/>
      <c r="K25" s="992"/>
      <c r="L25" s="2003"/>
      <c r="M25" s="992"/>
      <c r="N25" s="1022"/>
      <c r="O25" s="1022"/>
      <c r="P25" s="2442">
        <f>SUM(P26)</f>
        <v>1920000</v>
      </c>
      <c r="Q25" s="1018">
        <f>P25</f>
        <v>1920000</v>
      </c>
      <c r="R25" s="2443">
        <v>1400000</v>
      </c>
      <c r="S25" s="1019">
        <f t="shared" ref="S25" si="8">Q25-R25</f>
        <v>520000</v>
      </c>
      <c r="T25" s="1020">
        <f t="shared" ref="T25" si="9">S25/R25</f>
        <v>0.37142857142857144</v>
      </c>
    </row>
    <row r="26" spans="1:23" ht="14.45" customHeight="1">
      <c r="A26" s="778"/>
      <c r="B26" s="786"/>
      <c r="C26" s="792"/>
      <c r="D26" s="786"/>
      <c r="E26" s="3283"/>
      <c r="F26" s="1528" t="s">
        <v>1290</v>
      </c>
      <c r="G26" s="2035">
        <v>8000</v>
      </c>
      <c r="H26" s="996" t="s">
        <v>817</v>
      </c>
      <c r="I26" s="998">
        <v>2</v>
      </c>
      <c r="J26" s="996" t="s">
        <v>1285</v>
      </c>
      <c r="K26" s="2139">
        <v>10</v>
      </c>
      <c r="L26" s="996" t="s">
        <v>817</v>
      </c>
      <c r="M26" s="1000">
        <v>12</v>
      </c>
      <c r="N26" s="1001"/>
      <c r="O26" s="1001" t="s">
        <v>1286</v>
      </c>
      <c r="P26" s="2452">
        <f>G26*I26*K26*M26</f>
        <v>1920000</v>
      </c>
      <c r="Q26" s="2143"/>
      <c r="R26" s="2445"/>
      <c r="S26" s="2144"/>
      <c r="T26" s="2446"/>
      <c r="W26" s="128">
        <v>1920000</v>
      </c>
    </row>
    <row r="27" spans="1:23" ht="14.45" customHeight="1">
      <c r="A27" s="778"/>
      <c r="B27" s="786"/>
      <c r="C27" s="792"/>
      <c r="D27" s="786"/>
      <c r="E27" s="3283"/>
      <c r="F27" s="2002" t="s">
        <v>1291</v>
      </c>
      <c r="G27" s="1004"/>
      <c r="H27" s="992"/>
      <c r="I27" s="992"/>
      <c r="J27" s="992"/>
      <c r="K27" s="992"/>
      <c r="L27" s="2003"/>
      <c r="M27" s="992"/>
      <c r="N27" s="1022"/>
      <c r="O27" s="1022"/>
      <c r="P27" s="2442">
        <f>SUM(P28:P29)</f>
        <v>6200000</v>
      </c>
      <c r="Q27" s="1018">
        <f>P27</f>
        <v>6200000</v>
      </c>
      <c r="R27" s="2443">
        <v>5600000</v>
      </c>
      <c r="S27" s="1019">
        <f t="shared" ref="S27" si="10">Q27-R27</f>
        <v>600000</v>
      </c>
      <c r="T27" s="1020">
        <f t="shared" ref="T27" si="11">S27/R27</f>
        <v>0.10714285714285714</v>
      </c>
    </row>
    <row r="28" spans="1:23" ht="14.45" customHeight="1">
      <c r="A28" s="778"/>
      <c r="B28" s="786"/>
      <c r="C28" s="792"/>
      <c r="D28" s="786"/>
      <c r="E28" s="3283"/>
      <c r="F28" s="1528" t="s">
        <v>1292</v>
      </c>
      <c r="G28" s="2035">
        <v>1000000</v>
      </c>
      <c r="H28" s="996" t="s">
        <v>1285</v>
      </c>
      <c r="I28" s="998">
        <v>5</v>
      </c>
      <c r="J28" s="996"/>
      <c r="K28" s="2139"/>
      <c r="L28" s="996"/>
      <c r="M28" s="1000"/>
      <c r="N28" s="1001"/>
      <c r="O28" s="1001" t="s">
        <v>1286</v>
      </c>
      <c r="P28" s="2452">
        <f>G28*I28</f>
        <v>5000000</v>
      </c>
      <c r="Q28" s="2143"/>
      <c r="R28" s="2445"/>
      <c r="S28" s="2144"/>
      <c r="T28" s="2446"/>
      <c r="W28" s="128">
        <f>W26/8000/2/12</f>
        <v>10</v>
      </c>
    </row>
    <row r="29" spans="1:23" ht="14.45" customHeight="1">
      <c r="A29" s="778"/>
      <c r="B29" s="786"/>
      <c r="C29" s="792"/>
      <c r="D29" s="786"/>
      <c r="E29" s="3283"/>
      <c r="F29" s="1528" t="s">
        <v>1293</v>
      </c>
      <c r="G29" s="2035">
        <v>400000</v>
      </c>
      <c r="H29" s="996" t="s">
        <v>51</v>
      </c>
      <c r="I29" s="998">
        <v>3</v>
      </c>
      <c r="J29" s="996"/>
      <c r="K29" s="2139"/>
      <c r="L29" s="996"/>
      <c r="M29" s="1000"/>
      <c r="N29" s="1001"/>
      <c r="O29" s="1001" t="s">
        <v>32</v>
      </c>
      <c r="P29" s="2452">
        <f>G29*I29</f>
        <v>1200000</v>
      </c>
      <c r="Q29" s="2143"/>
      <c r="R29" s="2445"/>
      <c r="S29" s="2144"/>
      <c r="T29" s="2446"/>
    </row>
    <row r="30" spans="1:23" ht="14.45" customHeight="1">
      <c r="A30" s="778"/>
      <c r="B30" s="786"/>
      <c r="C30" s="792"/>
      <c r="D30" s="786"/>
      <c r="E30" s="3637" t="s">
        <v>213</v>
      </c>
      <c r="F30" s="3638"/>
      <c r="G30" s="3638"/>
      <c r="H30" s="3638"/>
      <c r="I30" s="3638"/>
      <c r="J30" s="3638"/>
      <c r="K30" s="3638"/>
      <c r="L30" s="3638"/>
      <c r="M30" s="3638"/>
      <c r="N30" s="3638"/>
      <c r="O30" s="3638"/>
      <c r="P30" s="3639"/>
      <c r="Q30" s="645">
        <f>SUM(P31)</f>
        <v>9000000</v>
      </c>
      <c r="R30" s="645">
        <v>7200000</v>
      </c>
      <c r="S30" s="646">
        <f>Q30-R30</f>
        <v>1800000</v>
      </c>
      <c r="T30" s="647">
        <f t="shared" si="6"/>
        <v>0.25</v>
      </c>
    </row>
    <row r="31" spans="1:23" ht="14.45" customHeight="1">
      <c r="A31" s="778"/>
      <c r="B31" s="786"/>
      <c r="C31" s="792"/>
      <c r="D31" s="786"/>
      <c r="F31" s="2002" t="s">
        <v>214</v>
      </c>
      <c r="G31" s="1004"/>
      <c r="H31" s="992"/>
      <c r="I31" s="992"/>
      <c r="J31" s="992"/>
      <c r="K31" s="992"/>
      <c r="L31" s="2003"/>
      <c r="M31" s="992"/>
      <c r="N31" s="1022"/>
      <c r="O31" s="1022"/>
      <c r="P31" s="2442">
        <f>SUM(P32:P32)</f>
        <v>9000000</v>
      </c>
      <c r="Q31" s="1018">
        <v>9000000</v>
      </c>
      <c r="R31" s="2443">
        <v>7200000</v>
      </c>
      <c r="S31" s="1019">
        <f t="shared" ref="S31" si="12">Q31-R31</f>
        <v>1800000</v>
      </c>
      <c r="T31" s="1020">
        <f t="shared" si="6"/>
        <v>0.25</v>
      </c>
    </row>
    <row r="32" spans="1:23" ht="14.45" customHeight="1">
      <c r="A32" s="778"/>
      <c r="B32" s="786"/>
      <c r="C32" s="792"/>
      <c r="D32" s="786"/>
      <c r="E32" s="3282"/>
      <c r="F32" s="1522" t="s">
        <v>215</v>
      </c>
      <c r="G32" s="1516">
        <v>150000</v>
      </c>
      <c r="H32" s="1523" t="s">
        <v>51</v>
      </c>
      <c r="I32" s="2453">
        <v>5</v>
      </c>
      <c r="J32" s="1523" t="s">
        <v>21</v>
      </c>
      <c r="K32" s="1524">
        <v>12</v>
      </c>
      <c r="L32" s="1525"/>
      <c r="M32" s="1524"/>
      <c r="N32" s="1526"/>
      <c r="O32" s="1526" t="s">
        <v>1294</v>
      </c>
      <c r="P32" s="1527">
        <f>G32*I32*K32</f>
        <v>9000000</v>
      </c>
      <c r="Q32" s="2016"/>
      <c r="R32" s="2450"/>
      <c r="S32" s="2149"/>
      <c r="T32" s="2451"/>
    </row>
    <row r="33" spans="1:20" ht="14.45" customHeight="1">
      <c r="A33" s="778"/>
      <c r="B33" s="786"/>
      <c r="C33" s="792"/>
      <c r="D33" s="786"/>
      <c r="E33" s="3637" t="s">
        <v>3059</v>
      </c>
      <c r="F33" s="3638"/>
      <c r="G33" s="3638"/>
      <c r="H33" s="3638"/>
      <c r="I33" s="3638"/>
      <c r="J33" s="3638"/>
      <c r="K33" s="3638"/>
      <c r="L33" s="3638"/>
      <c r="M33" s="3638"/>
      <c r="N33" s="3638"/>
      <c r="O33" s="3638"/>
      <c r="P33" s="3639"/>
      <c r="Q33" s="645">
        <f>P34</f>
        <v>720000</v>
      </c>
      <c r="R33" s="645">
        <v>720000</v>
      </c>
      <c r="S33" s="646">
        <f>Q33-R33</f>
        <v>0</v>
      </c>
      <c r="T33" s="647">
        <f t="shared" si="6"/>
        <v>0</v>
      </c>
    </row>
    <row r="34" spans="1:20" ht="14.45" customHeight="1">
      <c r="A34" s="778"/>
      <c r="B34" s="786"/>
      <c r="C34" s="792"/>
      <c r="D34" s="786"/>
      <c r="F34" s="2002" t="s">
        <v>1295</v>
      </c>
      <c r="G34" s="1004"/>
      <c r="H34" s="992"/>
      <c r="I34" s="992"/>
      <c r="J34" s="992"/>
      <c r="K34" s="992"/>
      <c r="L34" s="2003"/>
      <c r="M34" s="992"/>
      <c r="N34" s="1022"/>
      <c r="O34" s="1022"/>
      <c r="P34" s="2442">
        <f>SUM(P35:P35)</f>
        <v>720000</v>
      </c>
      <c r="Q34" s="1018">
        <v>720000</v>
      </c>
      <c r="R34" s="2443">
        <v>720000</v>
      </c>
      <c r="S34" s="1019">
        <f t="shared" ref="S34" si="13">Q34-R34</f>
        <v>0</v>
      </c>
      <c r="T34" s="1020">
        <f t="shared" si="6"/>
        <v>0</v>
      </c>
    </row>
    <row r="35" spans="1:20" ht="14.45" customHeight="1">
      <c r="A35" s="778"/>
      <c r="B35" s="786"/>
      <c r="C35" s="792"/>
      <c r="D35" s="786"/>
      <c r="E35" s="3282"/>
      <c r="F35" s="1522" t="s">
        <v>1296</v>
      </c>
      <c r="G35" s="1516">
        <v>60000</v>
      </c>
      <c r="H35" s="1523" t="s">
        <v>810</v>
      </c>
      <c r="I35" s="1524">
        <v>12</v>
      </c>
      <c r="J35" s="1523"/>
      <c r="K35" s="1524"/>
      <c r="L35" s="1525"/>
      <c r="M35" s="1524"/>
      <c r="N35" s="1526"/>
      <c r="O35" s="1526" t="s">
        <v>1297</v>
      </c>
      <c r="P35" s="1527">
        <f>ROUNDUP(G35*I35,-3)</f>
        <v>720000</v>
      </c>
      <c r="Q35" s="2016"/>
      <c r="R35" s="2450"/>
      <c r="S35" s="2149"/>
      <c r="T35" s="2451"/>
    </row>
    <row r="36" spans="1:20" ht="14.45" customHeight="1">
      <c r="A36" s="778"/>
      <c r="B36" s="786"/>
      <c r="C36" s="792"/>
      <c r="D36" s="786"/>
      <c r="E36" s="3637" t="s">
        <v>3060</v>
      </c>
      <c r="F36" s="3638"/>
      <c r="G36" s="3638"/>
      <c r="H36" s="3638"/>
      <c r="I36" s="3638"/>
      <c r="J36" s="3638"/>
      <c r="K36" s="3638"/>
      <c r="L36" s="3638"/>
      <c r="M36" s="3638"/>
      <c r="N36" s="3638"/>
      <c r="O36" s="3638"/>
      <c r="P36" s="3639"/>
      <c r="Q36" s="645">
        <f>P37+P40</f>
        <v>2244000</v>
      </c>
      <c r="R36" s="645">
        <v>2244000</v>
      </c>
      <c r="S36" s="646">
        <f>Q36-R36</f>
        <v>0</v>
      </c>
      <c r="T36" s="647">
        <f t="shared" si="6"/>
        <v>0</v>
      </c>
    </row>
    <row r="37" spans="1:20" ht="14.45" customHeight="1">
      <c r="A37" s="778"/>
      <c r="B37" s="786"/>
      <c r="C37" s="792"/>
      <c r="D37" s="786"/>
      <c r="F37" s="2002" t="s">
        <v>1298</v>
      </c>
      <c r="G37" s="1004"/>
      <c r="H37" s="992"/>
      <c r="I37" s="992"/>
      <c r="J37" s="992"/>
      <c r="K37" s="992"/>
      <c r="L37" s="2003"/>
      <c r="M37" s="992"/>
      <c r="N37" s="1022"/>
      <c r="O37" s="1022"/>
      <c r="P37" s="2442">
        <f>SUM(P38:P39)</f>
        <v>1944000</v>
      </c>
      <c r="Q37" s="1018">
        <f>P37</f>
        <v>1944000</v>
      </c>
      <c r="R37" s="2443">
        <v>1944000</v>
      </c>
      <c r="S37" s="1019">
        <f t="shared" ref="S37" si="14">Q37-R37</f>
        <v>0</v>
      </c>
      <c r="T37" s="1020">
        <f t="shared" si="6"/>
        <v>0</v>
      </c>
    </row>
    <row r="38" spans="1:20" ht="14.45" customHeight="1">
      <c r="A38" s="778"/>
      <c r="B38" s="786"/>
      <c r="C38" s="792"/>
      <c r="D38" s="786"/>
      <c r="F38" s="1522" t="s">
        <v>1299</v>
      </c>
      <c r="G38" s="2035">
        <v>150000</v>
      </c>
      <c r="H38" s="996" t="s">
        <v>912</v>
      </c>
      <c r="I38" s="2454">
        <v>2</v>
      </c>
      <c r="J38" s="996"/>
      <c r="K38" s="1000"/>
      <c r="L38" s="2036"/>
      <c r="M38" s="1000"/>
      <c r="N38" s="1001"/>
      <c r="O38" s="1001" t="s">
        <v>913</v>
      </c>
      <c r="P38" s="2037">
        <f>ROUNDUP(G38*I38,-3)</f>
        <v>300000</v>
      </c>
      <c r="Q38" s="2016"/>
      <c r="R38" s="2450"/>
      <c r="S38" s="2149"/>
      <c r="T38" s="2451"/>
    </row>
    <row r="39" spans="1:20" ht="14.45" customHeight="1">
      <c r="A39" s="778"/>
      <c r="B39" s="786"/>
      <c r="C39" s="792"/>
      <c r="D39" s="786"/>
      <c r="F39" s="1522" t="s">
        <v>1300</v>
      </c>
      <c r="G39" s="2035">
        <v>137000</v>
      </c>
      <c r="H39" s="996" t="s">
        <v>912</v>
      </c>
      <c r="I39" s="1000">
        <v>12</v>
      </c>
      <c r="J39" s="996"/>
      <c r="K39" s="1000"/>
      <c r="L39" s="2036"/>
      <c r="M39" s="1000"/>
      <c r="N39" s="1001"/>
      <c r="O39" s="1001" t="s">
        <v>913</v>
      </c>
      <c r="P39" s="2037">
        <f>ROUNDUP(G39*I39,-3)</f>
        <v>1644000</v>
      </c>
      <c r="Q39" s="2016"/>
      <c r="R39" s="2450"/>
      <c r="S39" s="2149"/>
      <c r="T39" s="2451"/>
    </row>
    <row r="40" spans="1:20" ht="14.45" customHeight="1">
      <c r="A40" s="1130"/>
      <c r="B40" s="846"/>
      <c r="C40" s="780"/>
      <c r="D40" s="846"/>
      <c r="E40" s="3281"/>
      <c r="F40" s="3507" t="s">
        <v>1301</v>
      </c>
      <c r="G40" s="1028"/>
      <c r="H40" s="1027"/>
      <c r="I40" s="1027"/>
      <c r="J40" s="1027"/>
      <c r="K40" s="1027"/>
      <c r="L40" s="2039"/>
      <c r="M40" s="1027"/>
      <c r="N40" s="1031"/>
      <c r="O40" s="1031"/>
      <c r="P40" s="3503">
        <f>SUM(P41)</f>
        <v>300000</v>
      </c>
      <c r="Q40" s="1034">
        <f>P40</f>
        <v>300000</v>
      </c>
      <c r="R40" s="3504">
        <v>300000</v>
      </c>
      <c r="S40" s="3505">
        <f t="shared" ref="S40" si="15">Q40-R40</f>
        <v>0</v>
      </c>
      <c r="T40" s="3506">
        <f t="shared" ref="T40" si="16">S40/R40</f>
        <v>0</v>
      </c>
    </row>
    <row r="41" spans="1:20" ht="14.45" customHeight="1">
      <c r="A41" s="778"/>
      <c r="B41" s="786"/>
      <c r="C41" s="792"/>
      <c r="D41" s="786"/>
      <c r="F41" s="1522" t="s">
        <v>1302</v>
      </c>
      <c r="G41" s="2035">
        <v>50000</v>
      </c>
      <c r="H41" s="996" t="s">
        <v>51</v>
      </c>
      <c r="I41" s="1000">
        <v>6</v>
      </c>
      <c r="J41" s="996"/>
      <c r="K41" s="1000"/>
      <c r="L41" s="2036"/>
      <c r="M41" s="1000"/>
      <c r="N41" s="1001"/>
      <c r="O41" s="1001" t="s">
        <v>913</v>
      </c>
      <c r="P41" s="2037">
        <f>ROUNDUP(G41*I41,-3)</f>
        <v>300000</v>
      </c>
      <c r="Q41" s="2016"/>
      <c r="R41" s="2450"/>
      <c r="S41" s="2149"/>
      <c r="T41" s="2451"/>
    </row>
    <row r="42" spans="1:20" ht="14.45" customHeight="1">
      <c r="A42" s="778"/>
      <c r="B42" s="786"/>
      <c r="C42" s="792"/>
      <c r="D42" s="786"/>
      <c r="E42" s="3637" t="s">
        <v>218</v>
      </c>
      <c r="F42" s="3638"/>
      <c r="G42" s="3638"/>
      <c r="H42" s="3638"/>
      <c r="I42" s="3638"/>
      <c r="J42" s="3638"/>
      <c r="K42" s="3638"/>
      <c r="L42" s="3638"/>
      <c r="M42" s="3638"/>
      <c r="N42" s="3638"/>
      <c r="O42" s="3638"/>
      <c r="P42" s="3639"/>
      <c r="Q42" s="645">
        <v>0</v>
      </c>
      <c r="R42" s="645">
        <v>320000</v>
      </c>
      <c r="S42" s="646">
        <f>Q42-R42</f>
        <v>-320000</v>
      </c>
      <c r="T42" s="647">
        <f t="shared" ref="T42:T65" si="17">S42/R42</f>
        <v>-1</v>
      </c>
    </row>
    <row r="43" spans="1:20" ht="14.45" customHeight="1">
      <c r="A43" s="778"/>
      <c r="B43" s="786"/>
      <c r="C43" s="792"/>
      <c r="D43" s="786"/>
      <c r="E43" s="3637" t="s">
        <v>3061</v>
      </c>
      <c r="F43" s="3638"/>
      <c r="G43" s="3638"/>
      <c r="H43" s="3638"/>
      <c r="I43" s="3638"/>
      <c r="J43" s="3638"/>
      <c r="K43" s="3638"/>
      <c r="L43" s="3638"/>
      <c r="M43" s="3638"/>
      <c r="N43" s="3638"/>
      <c r="O43" s="3638"/>
      <c r="P43" s="3639"/>
      <c r="Q43" s="1049">
        <f>P44</f>
        <v>1000000</v>
      </c>
      <c r="R43" s="1049">
        <v>1000000</v>
      </c>
      <c r="S43" s="1050">
        <f>Q43-R43</f>
        <v>0</v>
      </c>
      <c r="T43" s="1051">
        <f t="shared" si="17"/>
        <v>0</v>
      </c>
    </row>
    <row r="44" spans="1:20" ht="14.45" customHeight="1">
      <c r="A44" s="778"/>
      <c r="B44" s="786"/>
      <c r="C44" s="792"/>
      <c r="D44" s="786"/>
      <c r="F44" s="2002" t="s">
        <v>1303</v>
      </c>
      <c r="G44" s="1004"/>
      <c r="H44" s="992"/>
      <c r="I44" s="992"/>
      <c r="J44" s="992"/>
      <c r="K44" s="992"/>
      <c r="L44" s="2003"/>
      <c r="M44" s="992"/>
      <c r="N44" s="1022"/>
      <c r="O44" s="1022"/>
      <c r="P44" s="2442">
        <f>SUM(P45:P45)</f>
        <v>1000000</v>
      </c>
      <c r="Q44" s="1018">
        <v>1000000</v>
      </c>
      <c r="R44" s="2443">
        <v>1000000</v>
      </c>
      <c r="S44" s="1019">
        <f t="shared" ref="S44" si="18">Q44-R44</f>
        <v>0</v>
      </c>
      <c r="T44" s="1020">
        <f t="shared" si="17"/>
        <v>0</v>
      </c>
    </row>
    <row r="45" spans="1:20" ht="14.45" customHeight="1">
      <c r="A45" s="778"/>
      <c r="B45" s="786"/>
      <c r="C45" s="792"/>
      <c r="D45" s="786"/>
      <c r="E45" s="3282"/>
      <c r="F45" s="1522" t="s">
        <v>1304</v>
      </c>
      <c r="G45" s="1516">
        <v>500000</v>
      </c>
      <c r="H45" s="1523" t="s">
        <v>810</v>
      </c>
      <c r="I45" s="2044">
        <v>2</v>
      </c>
      <c r="J45" s="1523"/>
      <c r="K45" s="1524"/>
      <c r="L45" s="1525"/>
      <c r="M45" s="1524"/>
      <c r="N45" s="1526"/>
      <c r="O45" s="1526" t="s">
        <v>1305</v>
      </c>
      <c r="P45" s="1527">
        <f>ROUNDUP(G45*I45,-3)</f>
        <v>1000000</v>
      </c>
      <c r="Q45" s="2016"/>
      <c r="R45" s="2450"/>
      <c r="S45" s="2149"/>
      <c r="T45" s="2451"/>
    </row>
    <row r="46" spans="1:20" ht="14.45" customHeight="1">
      <c r="A46" s="778"/>
      <c r="B46" s="786"/>
      <c r="C46" s="792"/>
      <c r="D46" s="786"/>
      <c r="E46" s="3637" t="s">
        <v>3005</v>
      </c>
      <c r="F46" s="3638"/>
      <c r="G46" s="3638"/>
      <c r="H46" s="3638"/>
      <c r="I46" s="3638"/>
      <c r="J46" s="3638"/>
      <c r="K46" s="3638"/>
      <c r="L46" s="3638"/>
      <c r="M46" s="3638"/>
      <c r="N46" s="3638"/>
      <c r="O46" s="3638"/>
      <c r="P46" s="3639"/>
      <c r="Q46" s="645">
        <f>P47</f>
        <v>3480000</v>
      </c>
      <c r="R46" s="645">
        <v>3000000</v>
      </c>
      <c r="S46" s="646">
        <f>Q46-R46</f>
        <v>480000</v>
      </c>
      <c r="T46" s="647">
        <f t="shared" si="17"/>
        <v>0.16</v>
      </c>
    </row>
    <row r="47" spans="1:20" ht="14.45" customHeight="1">
      <c r="A47" s="778"/>
      <c r="B47" s="786"/>
      <c r="C47" s="792"/>
      <c r="D47" s="786"/>
      <c r="F47" s="2002" t="s">
        <v>1306</v>
      </c>
      <c r="G47" s="1004"/>
      <c r="H47" s="992"/>
      <c r="I47" s="992"/>
      <c r="J47" s="992"/>
      <c r="K47" s="992"/>
      <c r="L47" s="2003"/>
      <c r="M47" s="992"/>
      <c r="N47" s="1022"/>
      <c r="O47" s="1022"/>
      <c r="P47" s="2442">
        <f>SUM(P48:P49)</f>
        <v>3480000</v>
      </c>
      <c r="Q47" s="1018">
        <f>P47</f>
        <v>3480000</v>
      </c>
      <c r="R47" s="2443">
        <v>3000000</v>
      </c>
      <c r="S47" s="1019">
        <f t="shared" ref="S47" si="19">Q47-R47</f>
        <v>480000</v>
      </c>
      <c r="T47" s="1020">
        <f t="shared" si="17"/>
        <v>0.16</v>
      </c>
    </row>
    <row r="48" spans="1:20" ht="14.45" customHeight="1">
      <c r="A48" s="778"/>
      <c r="B48" s="786"/>
      <c r="C48" s="792"/>
      <c r="D48" s="786"/>
      <c r="E48" s="3282"/>
      <c r="F48" s="1522" t="s">
        <v>1307</v>
      </c>
      <c r="G48" s="2035">
        <v>250000</v>
      </c>
      <c r="H48" s="996" t="s">
        <v>51</v>
      </c>
      <c r="I48" s="2454">
        <v>1</v>
      </c>
      <c r="J48" s="996" t="s">
        <v>21</v>
      </c>
      <c r="K48" s="1000">
        <v>12</v>
      </c>
      <c r="L48" s="2036"/>
      <c r="M48" s="1000"/>
      <c r="N48" s="1001"/>
      <c r="O48" s="1001" t="s">
        <v>1308</v>
      </c>
      <c r="P48" s="2037">
        <f>ROUNDUP(G48*I48*K48,-3)</f>
        <v>3000000</v>
      </c>
      <c r="Q48" s="2016"/>
      <c r="R48" s="2450"/>
      <c r="S48" s="2149"/>
      <c r="T48" s="2451"/>
    </row>
    <row r="49" spans="1:25" ht="14.45" customHeight="1">
      <c r="A49" s="778"/>
      <c r="B49" s="786"/>
      <c r="C49" s="792"/>
      <c r="D49" s="786"/>
      <c r="E49" s="3282"/>
      <c r="F49" s="1522" t="s">
        <v>1309</v>
      </c>
      <c r="G49" s="2035">
        <v>40000</v>
      </c>
      <c r="H49" s="996" t="s">
        <v>1262</v>
      </c>
      <c r="I49" s="2454">
        <v>1</v>
      </c>
      <c r="J49" s="996" t="s">
        <v>21</v>
      </c>
      <c r="K49" s="1000">
        <v>12</v>
      </c>
      <c r="L49" s="2036"/>
      <c r="M49" s="1000"/>
      <c r="N49" s="1001"/>
      <c r="O49" s="1001" t="s">
        <v>1308</v>
      </c>
      <c r="P49" s="2037">
        <f>ROUNDUP(G49*I49*K49,-3)</f>
        <v>480000</v>
      </c>
      <c r="Q49" s="2016"/>
      <c r="R49" s="2450"/>
      <c r="S49" s="2149"/>
      <c r="T49" s="2451"/>
    </row>
    <row r="50" spans="1:25" ht="14.45" customHeight="1">
      <c r="A50" s="778"/>
      <c r="B50" s="786"/>
      <c r="C50" s="792"/>
      <c r="D50" s="786"/>
      <c r="E50" s="3637" t="s">
        <v>194</v>
      </c>
      <c r="F50" s="3638"/>
      <c r="G50" s="3638"/>
      <c r="H50" s="3638"/>
      <c r="I50" s="3638"/>
      <c r="J50" s="3638"/>
      <c r="K50" s="3638"/>
      <c r="L50" s="3638"/>
      <c r="M50" s="3638"/>
      <c r="N50" s="3638"/>
      <c r="O50" s="3638"/>
      <c r="P50" s="3639"/>
      <c r="Q50" s="645">
        <f>P51</f>
        <v>960000</v>
      </c>
      <c r="R50" s="645">
        <v>0</v>
      </c>
      <c r="S50" s="646">
        <f>Q50-R50</f>
        <v>960000</v>
      </c>
      <c r="T50" s="647"/>
    </row>
    <row r="51" spans="1:25" ht="14.45" customHeight="1">
      <c r="A51" s="778"/>
      <c r="B51" s="786"/>
      <c r="C51" s="792"/>
      <c r="D51" s="786"/>
      <c r="E51" s="3370"/>
      <c r="F51" s="2002" t="s">
        <v>1310</v>
      </c>
      <c r="G51" s="1004"/>
      <c r="H51" s="992"/>
      <c r="I51" s="992"/>
      <c r="J51" s="992"/>
      <c r="K51" s="992"/>
      <c r="L51" s="2003"/>
      <c r="M51" s="992"/>
      <c r="N51" s="1022"/>
      <c r="O51" s="1022"/>
      <c r="P51" s="2442">
        <f>SUM(P52:P52)</f>
        <v>960000</v>
      </c>
      <c r="Q51" s="1018">
        <f>P51</f>
        <v>960000</v>
      </c>
      <c r="R51" s="2443">
        <v>0</v>
      </c>
      <c r="S51" s="1019">
        <f t="shared" ref="S51" si="20">Q51-R51</f>
        <v>960000</v>
      </c>
      <c r="T51" s="1020"/>
    </row>
    <row r="52" spans="1:25" ht="14.45" customHeight="1">
      <c r="A52" s="778"/>
      <c r="B52" s="786"/>
      <c r="C52" s="792"/>
      <c r="D52" s="786"/>
      <c r="E52" s="3371"/>
      <c r="F52" s="2060" t="s">
        <v>1311</v>
      </c>
      <c r="G52" s="1424">
        <v>80000</v>
      </c>
      <c r="H52" s="2061" t="s">
        <v>21</v>
      </c>
      <c r="I52" s="2092">
        <v>12</v>
      </c>
      <c r="J52" s="2061"/>
      <c r="K52" s="2092"/>
      <c r="L52" s="2091"/>
      <c r="M52" s="2092"/>
      <c r="N52" s="2064"/>
      <c r="O52" s="2064" t="s">
        <v>22</v>
      </c>
      <c r="P52" s="2456">
        <f>ROUNDUP(G52*I52,-3)</f>
        <v>960000</v>
      </c>
      <c r="Q52" s="2457"/>
      <c r="R52" s="2458"/>
      <c r="S52" s="2459"/>
      <c r="T52" s="2460"/>
    </row>
    <row r="53" spans="1:25" ht="14.25" customHeight="1">
      <c r="A53" s="778"/>
      <c r="B53" s="786"/>
      <c r="C53" s="792"/>
      <c r="D53" s="786"/>
      <c r="E53" s="3637" t="s">
        <v>198</v>
      </c>
      <c r="F53" s="3638"/>
      <c r="G53" s="3638"/>
      <c r="H53" s="3638"/>
      <c r="I53" s="3638"/>
      <c r="J53" s="3638"/>
      <c r="K53" s="3638"/>
      <c r="L53" s="3638"/>
      <c r="M53" s="3638"/>
      <c r="N53" s="3638"/>
      <c r="O53" s="3638"/>
      <c r="P53" s="3639"/>
      <c r="Q53" s="645">
        <f>P54</f>
        <v>492000</v>
      </c>
      <c r="R53" s="645">
        <v>492000</v>
      </c>
      <c r="S53" s="646">
        <f>Q53-R53</f>
        <v>0</v>
      </c>
      <c r="T53" s="647">
        <f t="shared" ref="T53:T54" si="21">S53/R53</f>
        <v>0</v>
      </c>
    </row>
    <row r="54" spans="1:25" ht="14.25" customHeight="1">
      <c r="A54" s="778"/>
      <c r="B54" s="786"/>
      <c r="C54" s="792"/>
      <c r="D54" s="786"/>
      <c r="F54" s="2002" t="s">
        <v>1312</v>
      </c>
      <c r="G54" s="1004"/>
      <c r="H54" s="992"/>
      <c r="I54" s="992"/>
      <c r="J54" s="992"/>
      <c r="K54" s="992"/>
      <c r="L54" s="2003"/>
      <c r="M54" s="992"/>
      <c r="N54" s="1022"/>
      <c r="O54" s="1022"/>
      <c r="P54" s="2442">
        <f>SUM(P55)</f>
        <v>492000</v>
      </c>
      <c r="Q54" s="1018">
        <f>P54</f>
        <v>492000</v>
      </c>
      <c r="R54" s="2443">
        <v>492000</v>
      </c>
      <c r="S54" s="1019">
        <f t="shared" ref="S54" si="22">Q54-R54</f>
        <v>0</v>
      </c>
      <c r="T54" s="1020">
        <f t="shared" si="21"/>
        <v>0</v>
      </c>
    </row>
    <row r="55" spans="1:25" ht="14.25" customHeight="1">
      <c r="A55" s="778"/>
      <c r="B55" s="786"/>
      <c r="C55" s="792"/>
      <c r="D55" s="786"/>
      <c r="E55" s="3282"/>
      <c r="F55" s="1522" t="s">
        <v>1313</v>
      </c>
      <c r="G55" s="2035">
        <v>41000</v>
      </c>
      <c r="H55" s="996" t="s">
        <v>912</v>
      </c>
      <c r="I55" s="2184">
        <v>12</v>
      </c>
      <c r="J55" s="996"/>
      <c r="K55" s="1000"/>
      <c r="L55" s="2036"/>
      <c r="M55" s="1000"/>
      <c r="N55" s="1001"/>
      <c r="O55" s="1001" t="s">
        <v>900</v>
      </c>
      <c r="P55" s="2037">
        <f>ROUNDUP(G55*I55,-3)</f>
        <v>492000</v>
      </c>
      <c r="Q55" s="2016"/>
      <c r="R55" s="2450"/>
      <c r="S55" s="2149"/>
      <c r="T55" s="2451"/>
    </row>
    <row r="56" spans="1:25" ht="14.25" customHeight="1">
      <c r="A56" s="778"/>
      <c r="B56" s="786"/>
      <c r="C56" s="792"/>
      <c r="D56" s="786"/>
      <c r="E56" s="3637" t="s">
        <v>3062</v>
      </c>
      <c r="F56" s="3638"/>
      <c r="G56" s="3638"/>
      <c r="H56" s="3638"/>
      <c r="I56" s="3638"/>
      <c r="J56" s="3638"/>
      <c r="K56" s="3638"/>
      <c r="L56" s="3638"/>
      <c r="M56" s="3638"/>
      <c r="N56" s="3638"/>
      <c r="O56" s="3638"/>
      <c r="P56" s="3639"/>
      <c r="Q56" s="645">
        <f>P57</f>
        <v>1200000</v>
      </c>
      <c r="R56" s="645">
        <v>3000000</v>
      </c>
      <c r="S56" s="646">
        <f>Q56-R56</f>
        <v>-1800000</v>
      </c>
      <c r="T56" s="647">
        <f t="shared" si="17"/>
        <v>-0.6</v>
      </c>
    </row>
    <row r="57" spans="1:25" ht="14.25" customHeight="1">
      <c r="A57" s="778"/>
      <c r="B57" s="786"/>
      <c r="C57" s="792"/>
      <c r="D57" s="786"/>
      <c r="E57" s="3282"/>
      <c r="F57" s="2002" t="s">
        <v>2103</v>
      </c>
      <c r="G57" s="1004"/>
      <c r="H57" s="992"/>
      <c r="I57" s="992"/>
      <c r="J57" s="992"/>
      <c r="K57" s="992"/>
      <c r="L57" s="2003"/>
      <c r="M57" s="992"/>
      <c r="N57" s="1022"/>
      <c r="O57" s="1022"/>
      <c r="P57" s="2442">
        <f>P58</f>
        <v>1200000</v>
      </c>
      <c r="Q57" s="1018">
        <f>P57</f>
        <v>1200000</v>
      </c>
      <c r="R57" s="2443">
        <v>3000000</v>
      </c>
      <c r="S57" s="1019">
        <f t="shared" ref="S57" si="23">Q57-R57</f>
        <v>-1800000</v>
      </c>
      <c r="T57" s="1020">
        <f t="shared" si="17"/>
        <v>-0.6</v>
      </c>
    </row>
    <row r="58" spans="1:25" ht="14.25" customHeight="1">
      <c r="A58" s="778"/>
      <c r="B58" s="786"/>
      <c r="C58" s="792"/>
      <c r="D58" s="786"/>
      <c r="E58" s="3317"/>
      <c r="F58" s="2024" t="s">
        <v>731</v>
      </c>
      <c r="G58" s="2152">
        <v>100000</v>
      </c>
      <c r="H58" s="2153" t="s">
        <v>51</v>
      </c>
      <c r="I58" s="2155">
        <v>12</v>
      </c>
      <c r="J58" s="2153"/>
      <c r="K58" s="2155"/>
      <c r="L58" s="2156"/>
      <c r="M58" s="2155"/>
      <c r="N58" s="2157"/>
      <c r="O58" s="2157" t="s">
        <v>820</v>
      </c>
      <c r="P58" s="2158">
        <f>ROUNDUP(G58*I58,-3)</f>
        <v>1200000</v>
      </c>
      <c r="Q58" s="2146"/>
      <c r="R58" s="2461"/>
      <c r="S58" s="2147"/>
      <c r="T58" s="2462"/>
      <c r="W58" s="128">
        <v>1200000</v>
      </c>
      <c r="Y58" s="128">
        <f>W58/12</f>
        <v>100000</v>
      </c>
    </row>
    <row r="59" spans="1:25" ht="14.25" customHeight="1">
      <c r="A59" s="778"/>
      <c r="B59" s="786"/>
      <c r="C59" s="792"/>
      <c r="D59" s="786"/>
      <c r="E59" s="3637" t="s">
        <v>3015</v>
      </c>
      <c r="F59" s="3638"/>
      <c r="G59" s="3638"/>
      <c r="H59" s="3638"/>
      <c r="I59" s="3638"/>
      <c r="J59" s="3638"/>
      <c r="K59" s="3638"/>
      <c r="L59" s="3638"/>
      <c r="M59" s="3638"/>
      <c r="N59" s="3638"/>
      <c r="O59" s="3638"/>
      <c r="P59" s="3639"/>
      <c r="Q59" s="1049">
        <f>P60+P62</f>
        <v>1300000</v>
      </c>
      <c r="R59" s="1049">
        <v>1520000</v>
      </c>
      <c r="S59" s="1050">
        <f>Q59-R59</f>
        <v>-220000</v>
      </c>
      <c r="T59" s="1051">
        <f t="shared" si="17"/>
        <v>-0.14473684210526316</v>
      </c>
    </row>
    <row r="60" spans="1:25" ht="14.25" customHeight="1">
      <c r="A60" s="778"/>
      <c r="B60" s="786"/>
      <c r="C60" s="792"/>
      <c r="D60" s="786"/>
      <c r="F60" s="2463" t="s">
        <v>2104</v>
      </c>
      <c r="G60" s="2464"/>
      <c r="H60" s="2465"/>
      <c r="I60" s="2465"/>
      <c r="J60" s="2465"/>
      <c r="K60" s="2465"/>
      <c r="L60" s="2466"/>
      <c r="M60" s="2465"/>
      <c r="N60" s="2467"/>
      <c r="O60" s="2467"/>
      <c r="P60" s="2468">
        <f>P61</f>
        <v>900000</v>
      </c>
      <c r="Q60" s="2469">
        <f>P60</f>
        <v>900000</v>
      </c>
      <c r="R60" s="2470">
        <v>1200000</v>
      </c>
      <c r="S60" s="2471">
        <f t="shared" ref="S60" si="24">Q60-R60</f>
        <v>-300000</v>
      </c>
      <c r="T60" s="2472">
        <f t="shared" si="17"/>
        <v>-0.25</v>
      </c>
    </row>
    <row r="61" spans="1:25" ht="14.25" customHeight="1">
      <c r="A61" s="778"/>
      <c r="B61" s="786"/>
      <c r="C61" s="792"/>
      <c r="D61" s="786"/>
      <c r="E61" s="3282"/>
      <c r="F61" s="1522" t="s">
        <v>1314</v>
      </c>
      <c r="G61" s="2035">
        <v>75000</v>
      </c>
      <c r="H61" s="996" t="s">
        <v>1315</v>
      </c>
      <c r="I61" s="2184">
        <v>12</v>
      </c>
      <c r="J61" s="996"/>
      <c r="K61" s="1000"/>
      <c r="L61" s="2036"/>
      <c r="M61" s="1000"/>
      <c r="N61" s="1001"/>
      <c r="O61" s="1001" t="s">
        <v>32</v>
      </c>
      <c r="P61" s="2037">
        <f>ROUNDUP(G61*I61,-3)</f>
        <v>900000</v>
      </c>
      <c r="Q61" s="2143"/>
      <c r="R61" s="2445"/>
      <c r="S61" s="2144"/>
      <c r="T61" s="2446"/>
      <c r="V61" s="128">
        <v>900000</v>
      </c>
      <c r="X61" s="128">
        <f>V61/12</f>
        <v>75000</v>
      </c>
    </row>
    <row r="62" spans="1:25" ht="14.25" customHeight="1">
      <c r="A62" s="778"/>
      <c r="B62" s="786"/>
      <c r="C62" s="792"/>
      <c r="D62" s="786"/>
      <c r="E62" s="3282"/>
      <c r="F62" s="2002" t="s">
        <v>2105</v>
      </c>
      <c r="G62" s="1004"/>
      <c r="H62" s="992"/>
      <c r="I62" s="992"/>
      <c r="J62" s="992"/>
      <c r="K62" s="992"/>
      <c r="L62" s="2003"/>
      <c r="M62" s="992"/>
      <c r="N62" s="1022"/>
      <c r="O62" s="1022"/>
      <c r="P62" s="2442">
        <f>P63</f>
        <v>400000</v>
      </c>
      <c r="Q62" s="1018">
        <f>P62</f>
        <v>400000</v>
      </c>
      <c r="R62" s="2443">
        <v>320000</v>
      </c>
      <c r="S62" s="1019">
        <f t="shared" ref="S62" si="25">Q62-R62</f>
        <v>80000</v>
      </c>
      <c r="T62" s="1020">
        <f t="shared" ref="T62" si="26">S62/R62</f>
        <v>0.25</v>
      </c>
    </row>
    <row r="63" spans="1:25" ht="14.25" customHeight="1">
      <c r="A63" s="778"/>
      <c r="B63" s="786"/>
      <c r="C63" s="792"/>
      <c r="D63" s="786"/>
      <c r="E63" s="3282"/>
      <c r="F63" s="1522" t="s">
        <v>1316</v>
      </c>
      <c r="G63" s="2007">
        <v>80000</v>
      </c>
      <c r="H63" s="1523" t="s">
        <v>51</v>
      </c>
      <c r="I63" s="2453">
        <v>5</v>
      </c>
      <c r="J63" s="1523"/>
      <c r="K63" s="1524"/>
      <c r="L63" s="1525"/>
      <c r="M63" s="1524"/>
      <c r="N63" s="1526"/>
      <c r="O63" s="1526" t="s">
        <v>1317</v>
      </c>
      <c r="P63" s="1527">
        <f>ROUNDUP(G63*I63,-3)</f>
        <v>400000</v>
      </c>
      <c r="Q63" s="2016"/>
      <c r="R63" s="2450"/>
      <c r="S63" s="2149"/>
      <c r="T63" s="2451"/>
    </row>
    <row r="64" spans="1:25" ht="14.25" customHeight="1">
      <c r="A64" s="778"/>
      <c r="B64" s="786"/>
      <c r="C64" s="792"/>
      <c r="D64" s="786"/>
      <c r="E64" s="3637" t="s">
        <v>252</v>
      </c>
      <c r="F64" s="3638"/>
      <c r="G64" s="3638"/>
      <c r="H64" s="3638"/>
      <c r="I64" s="3638"/>
      <c r="J64" s="3638"/>
      <c r="K64" s="3638"/>
      <c r="L64" s="3638"/>
      <c r="M64" s="3638"/>
      <c r="N64" s="3638"/>
      <c r="O64" s="3638"/>
      <c r="P64" s="3639"/>
      <c r="Q64" s="645">
        <f>P65+P67</f>
        <v>2816000</v>
      </c>
      <c r="R64" s="645">
        <v>1200000</v>
      </c>
      <c r="S64" s="646">
        <f>Q64-R64</f>
        <v>1616000</v>
      </c>
      <c r="T64" s="647">
        <f t="shared" si="17"/>
        <v>1.3466666666666667</v>
      </c>
    </row>
    <row r="65" spans="1:22" ht="14.25" customHeight="1">
      <c r="A65" s="778"/>
      <c r="B65" s="786"/>
      <c r="C65" s="792"/>
      <c r="D65" s="786"/>
      <c r="F65" s="2002" t="s">
        <v>1318</v>
      </c>
      <c r="G65" s="1004"/>
      <c r="H65" s="992"/>
      <c r="I65" s="992"/>
      <c r="J65" s="992"/>
      <c r="K65" s="992"/>
      <c r="L65" s="2003"/>
      <c r="M65" s="992"/>
      <c r="N65" s="1022"/>
      <c r="O65" s="1022"/>
      <c r="P65" s="2442">
        <f>SUM(P66:P66)</f>
        <v>1500000</v>
      </c>
      <c r="Q65" s="1018">
        <f>P65</f>
        <v>1500000</v>
      </c>
      <c r="R65" s="2443">
        <v>1200000</v>
      </c>
      <c r="S65" s="1019">
        <f t="shared" ref="S65" si="27">Q65-R65</f>
        <v>300000</v>
      </c>
      <c r="T65" s="1020">
        <f t="shared" si="17"/>
        <v>0.25</v>
      </c>
    </row>
    <row r="66" spans="1:22" ht="14.25" customHeight="1">
      <c r="A66" s="778"/>
      <c r="B66" s="786"/>
      <c r="C66" s="792"/>
      <c r="D66" s="786"/>
      <c r="F66" s="1522" t="s">
        <v>1319</v>
      </c>
      <c r="G66" s="1516">
        <v>300000</v>
      </c>
      <c r="H66" s="1523" t="s">
        <v>51</v>
      </c>
      <c r="I66" s="2453">
        <v>5</v>
      </c>
      <c r="J66" s="1523"/>
      <c r="K66" s="1524"/>
      <c r="L66" s="1525"/>
      <c r="M66" s="1524"/>
      <c r="N66" s="1526"/>
      <c r="O66" s="1526" t="s">
        <v>32</v>
      </c>
      <c r="P66" s="1527">
        <f>ROUNDUP(G66*I66,-3)</f>
        <v>1500000</v>
      </c>
      <c r="Q66" s="2473"/>
      <c r="R66" s="2474"/>
      <c r="S66" s="2475"/>
      <c r="T66" s="2476"/>
    </row>
    <row r="67" spans="1:22" ht="14.25" customHeight="1">
      <c r="A67" s="778"/>
      <c r="B67" s="786"/>
      <c r="C67" s="792"/>
      <c r="D67" s="786"/>
      <c r="F67" s="2002" t="s">
        <v>1320</v>
      </c>
      <c r="G67" s="1004"/>
      <c r="H67" s="992"/>
      <c r="I67" s="992"/>
      <c r="J67" s="992"/>
      <c r="K67" s="992"/>
      <c r="L67" s="2003"/>
      <c r="M67" s="992"/>
      <c r="N67" s="1022"/>
      <c r="O67" s="1022"/>
      <c r="P67" s="2442">
        <f>SUM(P68:P68)</f>
        <v>1316000</v>
      </c>
      <c r="Q67" s="1018">
        <f>P67</f>
        <v>1316000</v>
      </c>
      <c r="R67" s="2443">
        <v>0</v>
      </c>
      <c r="S67" s="1019">
        <f t="shared" ref="S67" si="28">Q67-R67</f>
        <v>1316000</v>
      </c>
      <c r="T67" s="1020"/>
    </row>
    <row r="68" spans="1:22" ht="14.25" customHeight="1">
      <c r="A68" s="778"/>
      <c r="B68" s="786"/>
      <c r="C68" s="792"/>
      <c r="D68" s="786"/>
      <c r="E68" s="3282"/>
      <c r="F68" s="1522" t="s">
        <v>1321</v>
      </c>
      <c r="G68" s="1516">
        <v>1316000</v>
      </c>
      <c r="H68" s="1523" t="s">
        <v>51</v>
      </c>
      <c r="I68" s="2477">
        <v>1</v>
      </c>
      <c r="J68" s="1523"/>
      <c r="K68" s="1524"/>
      <c r="L68" s="1525"/>
      <c r="M68" s="1524"/>
      <c r="N68" s="1526"/>
      <c r="O68" s="1526" t="s">
        <v>32</v>
      </c>
      <c r="P68" s="1527">
        <f>G68*I68</f>
        <v>1316000</v>
      </c>
      <c r="Q68" s="2016"/>
      <c r="R68" s="2450"/>
      <c r="S68" s="2149"/>
      <c r="T68" s="2478"/>
    </row>
    <row r="69" spans="1:22" s="495" customFormat="1" ht="14.25" customHeight="1">
      <c r="A69" s="1326"/>
      <c r="B69" s="522"/>
      <c r="C69" s="522"/>
      <c r="D69" s="522"/>
      <c r="E69" s="3637" t="s">
        <v>3063</v>
      </c>
      <c r="F69" s="3638"/>
      <c r="G69" s="3638"/>
      <c r="H69" s="3638"/>
      <c r="I69" s="3638"/>
      <c r="J69" s="3638"/>
      <c r="K69" s="3638"/>
      <c r="L69" s="3638"/>
      <c r="M69" s="3638"/>
      <c r="N69" s="3638"/>
      <c r="O69" s="3638"/>
      <c r="P69" s="3639"/>
      <c r="Q69" s="540">
        <f>P70</f>
        <v>4859000</v>
      </c>
      <c r="R69" s="540">
        <v>4859000</v>
      </c>
      <c r="S69" s="646">
        <f>Q69-R69</f>
        <v>0</v>
      </c>
      <c r="T69" s="647">
        <f t="shared" ref="T69:T70" si="29">S69/R69</f>
        <v>0</v>
      </c>
    </row>
    <row r="70" spans="1:22" s="495" customFormat="1" ht="14.25" customHeight="1">
      <c r="A70" s="1326"/>
      <c r="B70" s="522"/>
      <c r="C70" s="522"/>
      <c r="D70" s="522"/>
      <c r="E70" s="3372"/>
      <c r="F70" s="2002" t="s">
        <v>1322</v>
      </c>
      <c r="G70" s="1004"/>
      <c r="H70" s="992"/>
      <c r="I70" s="992"/>
      <c r="J70" s="992"/>
      <c r="K70" s="992"/>
      <c r="L70" s="2003"/>
      <c r="M70" s="992"/>
      <c r="N70" s="1022"/>
      <c r="O70" s="1022"/>
      <c r="P70" s="2442">
        <f>SUM(P71:P72)</f>
        <v>4859000</v>
      </c>
      <c r="Q70" s="1018">
        <f>P70</f>
        <v>4859000</v>
      </c>
      <c r="R70" s="2443">
        <v>4859000</v>
      </c>
      <c r="S70" s="1019">
        <f t="shared" ref="S70" si="30">Q70-R70</f>
        <v>0</v>
      </c>
      <c r="T70" s="1637">
        <f t="shared" si="29"/>
        <v>0</v>
      </c>
    </row>
    <row r="71" spans="1:22" s="495" customFormat="1" ht="14.25" customHeight="1">
      <c r="A71" s="1326"/>
      <c r="B71" s="522"/>
      <c r="C71" s="522"/>
      <c r="D71" s="522"/>
      <c r="E71" s="3273"/>
      <c r="F71" s="2231" t="s">
        <v>1323</v>
      </c>
      <c r="G71" s="2479">
        <v>1650000</v>
      </c>
      <c r="H71" s="2190" t="s">
        <v>21</v>
      </c>
      <c r="I71" s="2480">
        <v>1</v>
      </c>
      <c r="J71" s="2190" t="s">
        <v>21</v>
      </c>
      <c r="K71" s="690">
        <v>2</v>
      </c>
      <c r="L71" s="2191"/>
      <c r="M71" s="663"/>
      <c r="N71" s="2192"/>
      <c r="O71" s="2192" t="s">
        <v>22</v>
      </c>
      <c r="P71" s="2193">
        <f>G71*I71*K71</f>
        <v>3300000</v>
      </c>
      <c r="Q71" s="2331"/>
      <c r="R71" s="2332"/>
      <c r="S71" s="2333"/>
      <c r="T71" s="2334"/>
    </row>
    <row r="72" spans="1:22" s="495" customFormat="1" ht="14.25" customHeight="1">
      <c r="A72" s="1326"/>
      <c r="B72" s="522"/>
      <c r="C72" s="522"/>
      <c r="D72" s="522"/>
      <c r="E72" s="3276"/>
      <c r="F72" s="2231" t="s">
        <v>1324</v>
      </c>
      <c r="G72" s="2479">
        <v>1559000</v>
      </c>
      <c r="H72" s="2190" t="s">
        <v>21</v>
      </c>
      <c r="I72" s="2480">
        <v>1</v>
      </c>
      <c r="J72" s="2190" t="s">
        <v>21</v>
      </c>
      <c r="K72" s="690">
        <v>1</v>
      </c>
      <c r="L72" s="2191"/>
      <c r="M72" s="663"/>
      <c r="N72" s="2192"/>
      <c r="O72" s="2192" t="s">
        <v>22</v>
      </c>
      <c r="P72" s="2193">
        <f>G72*I72*K72</f>
        <v>1559000</v>
      </c>
      <c r="Q72" s="2331"/>
      <c r="R72" s="2332"/>
      <c r="S72" s="2333"/>
      <c r="T72" s="2334"/>
    </row>
    <row r="73" spans="1:22" s="495" customFormat="1" ht="14.25" customHeight="1">
      <c r="A73" s="1326"/>
      <c r="B73" s="522"/>
      <c r="C73" s="531"/>
      <c r="D73" s="684" t="s">
        <v>254</v>
      </c>
      <c r="E73" s="3373"/>
      <c r="F73" s="2481"/>
      <c r="G73" s="2482"/>
      <c r="H73" s="2481"/>
      <c r="I73" s="2481"/>
      <c r="J73" s="2481"/>
      <c r="K73" s="2481"/>
      <c r="L73" s="2483"/>
      <c r="M73" s="2481"/>
      <c r="N73" s="2484"/>
      <c r="O73" s="2484"/>
      <c r="P73" s="2481"/>
      <c r="Q73" s="2485">
        <f>Q74</f>
        <v>1700000</v>
      </c>
      <c r="R73" s="2485">
        <f>R74</f>
        <v>5100000</v>
      </c>
      <c r="S73" s="2486">
        <f>Q73-R73</f>
        <v>-3400000</v>
      </c>
      <c r="T73" s="2487">
        <f t="shared" ref="T73:T75" si="31">S73/R73</f>
        <v>-0.66666666666666663</v>
      </c>
    </row>
    <row r="74" spans="1:22" ht="14.25" customHeight="1">
      <c r="A74" s="1326"/>
      <c r="B74" s="522"/>
      <c r="C74" s="792"/>
      <c r="D74" s="786"/>
      <c r="E74" s="3637" t="s">
        <v>3064</v>
      </c>
      <c r="F74" s="3638"/>
      <c r="G74" s="3638"/>
      <c r="H74" s="3638"/>
      <c r="I74" s="3638"/>
      <c r="J74" s="3638"/>
      <c r="K74" s="3638"/>
      <c r="L74" s="3638"/>
      <c r="M74" s="3638"/>
      <c r="N74" s="3638"/>
      <c r="O74" s="3638"/>
      <c r="P74" s="3639"/>
      <c r="Q74" s="645">
        <f>P75</f>
        <v>1700000</v>
      </c>
      <c r="R74" s="645">
        <v>5100000</v>
      </c>
      <c r="S74" s="646">
        <f>Q74-R74</f>
        <v>-3400000</v>
      </c>
      <c r="T74" s="647">
        <f t="shared" si="31"/>
        <v>-0.66666666666666663</v>
      </c>
    </row>
    <row r="75" spans="1:22" ht="14.25" customHeight="1">
      <c r="A75" s="1326"/>
      <c r="B75" s="522"/>
      <c r="C75" s="792"/>
      <c r="D75" s="786"/>
      <c r="F75" s="2002" t="s">
        <v>202</v>
      </c>
      <c r="G75" s="1004"/>
      <c r="H75" s="992"/>
      <c r="I75" s="992"/>
      <c r="J75" s="992"/>
      <c r="K75" s="992"/>
      <c r="L75" s="2003"/>
      <c r="M75" s="992"/>
      <c r="N75" s="1022"/>
      <c r="O75" s="1022"/>
      <c r="P75" s="2442">
        <f>SUM(P76:P76)</f>
        <v>1700000</v>
      </c>
      <c r="Q75" s="1018">
        <f>P75</f>
        <v>1700000</v>
      </c>
      <c r="R75" s="2443">
        <v>5100000</v>
      </c>
      <c r="S75" s="1019">
        <f t="shared" ref="S75" si="32">Q75-R75</f>
        <v>-3400000</v>
      </c>
      <c r="T75" s="1020">
        <f t="shared" si="31"/>
        <v>-0.66666666666666663</v>
      </c>
    </row>
    <row r="76" spans="1:22" ht="14.25" customHeight="1">
      <c r="A76" s="1326"/>
      <c r="B76" s="522"/>
      <c r="C76" s="780"/>
      <c r="D76" s="846"/>
      <c r="E76" s="3281"/>
      <c r="F76" s="2024" t="s">
        <v>1325</v>
      </c>
      <c r="G76" s="2207">
        <v>850000</v>
      </c>
      <c r="H76" s="2153" t="s">
        <v>51</v>
      </c>
      <c r="I76" s="3031">
        <v>2</v>
      </c>
      <c r="J76" s="2153"/>
      <c r="K76" s="2155"/>
      <c r="L76" s="2156"/>
      <c r="M76" s="2155"/>
      <c r="N76" s="2157"/>
      <c r="O76" s="2157" t="s">
        <v>32</v>
      </c>
      <c r="P76" s="2158">
        <f>ROUNDUP(G76*I76,-3)</f>
        <v>1700000</v>
      </c>
      <c r="Q76" s="2146"/>
      <c r="R76" s="2461"/>
      <c r="S76" s="2147"/>
      <c r="T76" s="2462"/>
      <c r="V76" s="128">
        <v>1700000</v>
      </c>
    </row>
    <row r="77" spans="1:22" ht="14.25" customHeight="1">
      <c r="A77" s="3502"/>
      <c r="B77" s="551"/>
      <c r="C77" s="3685" t="s">
        <v>255</v>
      </c>
      <c r="D77" s="3686"/>
      <c r="E77" s="3686"/>
      <c r="F77" s="3686"/>
      <c r="G77" s="3686"/>
      <c r="H77" s="3686"/>
      <c r="I77" s="3686"/>
      <c r="J77" s="3686"/>
      <c r="K77" s="3686"/>
      <c r="L77" s="3686"/>
      <c r="M77" s="3686"/>
      <c r="N77" s="3686"/>
      <c r="O77" s="3686"/>
      <c r="P77" s="3687"/>
      <c r="Q77" s="783">
        <f>Q78+Q97</f>
        <v>0</v>
      </c>
      <c r="R77" s="783">
        <f>R78+R97</f>
        <v>407820000</v>
      </c>
      <c r="S77" s="2437">
        <f>Q77-R77</f>
        <v>-407820000</v>
      </c>
      <c r="T77" s="2438">
        <f t="shared" ref="T77:T78" si="33">S77/R77</f>
        <v>-1</v>
      </c>
      <c r="V77" s="128">
        <f>V76/2</f>
        <v>850000</v>
      </c>
    </row>
    <row r="78" spans="1:22" s="495" customFormat="1" ht="14.25" customHeight="1">
      <c r="A78" s="513"/>
      <c r="B78" s="522"/>
      <c r="C78" s="531"/>
      <c r="D78" s="3493" t="s">
        <v>120</v>
      </c>
      <c r="E78" s="3494"/>
      <c r="F78" s="3495"/>
      <c r="G78" s="3496"/>
      <c r="H78" s="3495"/>
      <c r="I78" s="3495"/>
      <c r="J78" s="3495"/>
      <c r="K78" s="3495"/>
      <c r="L78" s="3497"/>
      <c r="M78" s="3495"/>
      <c r="N78" s="3498"/>
      <c r="O78" s="3498"/>
      <c r="P78" s="3495"/>
      <c r="Q78" s="3499">
        <f>Q79+Q87</f>
        <v>0</v>
      </c>
      <c r="R78" s="3499">
        <f>R79+R87</f>
        <v>330300000</v>
      </c>
      <c r="S78" s="3500">
        <f>Q78-R78</f>
        <v>-330300000</v>
      </c>
      <c r="T78" s="3501">
        <f t="shared" si="33"/>
        <v>-1</v>
      </c>
    </row>
    <row r="79" spans="1:22" s="495" customFormat="1" ht="14.25" customHeight="1">
      <c r="A79" s="513"/>
      <c r="B79" s="522"/>
      <c r="C79" s="531"/>
      <c r="D79" s="2488"/>
      <c r="E79" s="3637" t="s">
        <v>3065</v>
      </c>
      <c r="F79" s="3638"/>
      <c r="G79" s="3638"/>
      <c r="H79" s="3638"/>
      <c r="I79" s="3638"/>
      <c r="J79" s="3638"/>
      <c r="K79" s="3638"/>
      <c r="L79" s="3638"/>
      <c r="M79" s="3638"/>
      <c r="N79" s="3638"/>
      <c r="O79" s="3638"/>
      <c r="P79" s="3639"/>
      <c r="Q79" s="645">
        <f>P80+P84</f>
        <v>0</v>
      </c>
      <c r="R79" s="645">
        <v>286300000</v>
      </c>
      <c r="S79" s="646">
        <f>Q79-R79</f>
        <v>-286300000</v>
      </c>
      <c r="T79" s="647">
        <f t="shared" ref="T79" si="34">S79/R79</f>
        <v>-1</v>
      </c>
    </row>
    <row r="80" spans="1:22" s="495" customFormat="1" ht="14.25" hidden="1" customHeight="1">
      <c r="A80" s="513"/>
      <c r="B80" s="522"/>
      <c r="C80" s="531"/>
      <c r="D80" s="2488"/>
      <c r="E80" s="3374"/>
      <c r="F80" s="884"/>
      <c r="G80" s="2489"/>
      <c r="H80" s="2490"/>
      <c r="I80" s="2490"/>
      <c r="J80" s="2490"/>
      <c r="K80" s="2490"/>
      <c r="L80" s="2491"/>
      <c r="M80" s="2490"/>
      <c r="N80" s="2492"/>
      <c r="O80" s="2492"/>
      <c r="P80" s="886"/>
      <c r="Q80" s="2493"/>
      <c r="R80" s="2493"/>
      <c r="S80" s="2494"/>
      <c r="T80" s="2495"/>
    </row>
    <row r="81" spans="1:20" s="495" customFormat="1" ht="14.25" hidden="1" customHeight="1">
      <c r="A81" s="513"/>
      <c r="B81" s="522"/>
      <c r="C81" s="531"/>
      <c r="D81" s="2488"/>
      <c r="E81" s="3374"/>
      <c r="F81" s="884"/>
      <c r="G81" s="2489"/>
      <c r="H81" s="2490"/>
      <c r="I81" s="2496"/>
      <c r="J81" s="2490"/>
      <c r="K81" s="2490"/>
      <c r="L81" s="2491"/>
      <c r="M81" s="2490"/>
      <c r="N81" s="2492"/>
      <c r="O81" s="2492"/>
      <c r="P81" s="2497"/>
      <c r="Q81" s="2493"/>
      <c r="R81" s="2493"/>
      <c r="S81" s="2494"/>
      <c r="T81" s="2495"/>
    </row>
    <row r="82" spans="1:20" s="495" customFormat="1" ht="14.25" hidden="1" customHeight="1">
      <c r="A82" s="513"/>
      <c r="B82" s="522"/>
      <c r="C82" s="531"/>
      <c r="D82" s="2488"/>
      <c r="E82" s="3374"/>
      <c r="F82" s="884"/>
      <c r="G82" s="2489"/>
      <c r="H82" s="2490"/>
      <c r="I82" s="2496"/>
      <c r="J82" s="2490"/>
      <c r="K82" s="2490"/>
      <c r="L82" s="2491"/>
      <c r="M82" s="2490"/>
      <c r="N82" s="2492"/>
      <c r="O82" s="2492"/>
      <c r="P82" s="2497"/>
      <c r="Q82" s="2493"/>
      <c r="R82" s="2493"/>
      <c r="S82" s="2494"/>
      <c r="T82" s="2495"/>
    </row>
    <row r="83" spans="1:20" s="495" customFormat="1" ht="14.25" hidden="1" customHeight="1">
      <c r="A83" s="513"/>
      <c r="B83" s="522"/>
      <c r="C83" s="531"/>
      <c r="D83" s="2488"/>
      <c r="E83" s="3374"/>
      <c r="F83" s="884"/>
      <c r="G83" s="2489"/>
      <c r="H83" s="2490"/>
      <c r="I83" s="2496"/>
      <c r="J83" s="2490"/>
      <c r="K83" s="2490"/>
      <c r="L83" s="2491"/>
      <c r="M83" s="2490"/>
      <c r="N83" s="2492"/>
      <c r="O83" s="2492"/>
      <c r="P83" s="2497"/>
      <c r="Q83" s="2493"/>
      <c r="R83" s="2493"/>
      <c r="S83" s="2494"/>
      <c r="T83" s="2495"/>
    </row>
    <row r="84" spans="1:20" s="495" customFormat="1" ht="14.25" hidden="1" customHeight="1">
      <c r="A84" s="513"/>
      <c r="B84" s="522"/>
      <c r="C84" s="531"/>
      <c r="D84" s="2488"/>
      <c r="E84" s="3374"/>
      <c r="F84" s="884"/>
      <c r="G84" s="2489"/>
      <c r="H84" s="2490"/>
      <c r="I84" s="2490"/>
      <c r="J84" s="2490"/>
      <c r="K84" s="2490"/>
      <c r="L84" s="2491"/>
      <c r="M84" s="2490"/>
      <c r="N84" s="2492"/>
      <c r="O84" s="2492"/>
      <c r="P84" s="886"/>
      <c r="Q84" s="2493"/>
      <c r="R84" s="2493"/>
      <c r="S84" s="2494"/>
      <c r="T84" s="2495"/>
    </row>
    <row r="85" spans="1:20" s="495" customFormat="1" ht="14.25" hidden="1" customHeight="1">
      <c r="A85" s="513"/>
      <c r="B85" s="522"/>
      <c r="C85" s="531"/>
      <c r="D85" s="2488"/>
      <c r="E85" s="3374"/>
      <c r="F85" s="2498"/>
      <c r="G85" s="2489"/>
      <c r="H85" s="2490"/>
      <c r="I85" s="2496"/>
      <c r="J85" s="2490"/>
      <c r="K85" s="2490"/>
      <c r="L85" s="2491"/>
      <c r="M85" s="2490"/>
      <c r="N85" s="2492"/>
      <c r="O85" s="2492"/>
      <c r="P85" s="2499"/>
      <c r="Q85" s="2493"/>
      <c r="R85" s="2493"/>
      <c r="S85" s="2494"/>
      <c r="T85" s="2495"/>
    </row>
    <row r="86" spans="1:20" s="495" customFormat="1" ht="14.25" hidden="1" customHeight="1">
      <c r="A86" s="513"/>
      <c r="B86" s="522"/>
      <c r="C86" s="531"/>
      <c r="D86" s="2488"/>
      <c r="E86" s="3374"/>
      <c r="F86" s="2498"/>
      <c r="G86" s="2489"/>
      <c r="H86" s="2490"/>
      <c r="I86" s="2496"/>
      <c r="J86" s="2490"/>
      <c r="K86" s="2490"/>
      <c r="L86" s="2491"/>
      <c r="M86" s="2490"/>
      <c r="N86" s="2492"/>
      <c r="O86" s="2492"/>
      <c r="P86" s="2499"/>
      <c r="Q86" s="2493"/>
      <c r="R86" s="2493"/>
      <c r="S86" s="2494"/>
      <c r="T86" s="2495"/>
    </row>
    <row r="87" spans="1:20" s="495" customFormat="1" ht="14.25" customHeight="1">
      <c r="A87" s="513"/>
      <c r="B87" s="522"/>
      <c r="C87" s="2500"/>
      <c r="D87" s="2488"/>
      <c r="E87" s="3637" t="s">
        <v>3066</v>
      </c>
      <c r="F87" s="3638"/>
      <c r="G87" s="3638"/>
      <c r="H87" s="3638"/>
      <c r="I87" s="3638"/>
      <c r="J87" s="3638"/>
      <c r="K87" s="3638"/>
      <c r="L87" s="3638"/>
      <c r="M87" s="3638"/>
      <c r="N87" s="3638"/>
      <c r="O87" s="3638"/>
      <c r="P87" s="3639"/>
      <c r="Q87" s="645">
        <f>P88+P90+P95</f>
        <v>0</v>
      </c>
      <c r="R87" s="645">
        <v>44000000</v>
      </c>
      <c r="S87" s="646">
        <f>Q87-R87</f>
        <v>-44000000</v>
      </c>
      <c r="T87" s="647">
        <f t="shared" ref="T87" si="35">S87/R87</f>
        <v>-1</v>
      </c>
    </row>
    <row r="88" spans="1:20" s="495" customFormat="1" ht="14.25" hidden="1" customHeight="1">
      <c r="A88" s="513"/>
      <c r="B88" s="522"/>
      <c r="C88" s="2500"/>
      <c r="D88" s="2488"/>
      <c r="E88" s="3374"/>
      <c r="F88" s="884"/>
      <c r="G88" s="2489"/>
      <c r="H88" s="2490"/>
      <c r="I88" s="2490"/>
      <c r="J88" s="2490"/>
      <c r="K88" s="2490"/>
      <c r="L88" s="2491"/>
      <c r="M88" s="2490"/>
      <c r="N88" s="2492"/>
      <c r="O88" s="2492"/>
      <c r="P88" s="886"/>
      <c r="Q88" s="2493"/>
      <c r="R88" s="2493"/>
      <c r="S88" s="2494"/>
      <c r="T88" s="2495"/>
    </row>
    <row r="89" spans="1:20" s="495" customFormat="1" ht="14.25" hidden="1" customHeight="1">
      <c r="A89" s="513"/>
      <c r="B89" s="522"/>
      <c r="C89" s="2500"/>
      <c r="D89" s="2488"/>
      <c r="E89" s="3374"/>
      <c r="F89" s="2498"/>
      <c r="G89" s="2489"/>
      <c r="H89" s="2490"/>
      <c r="I89" s="2496"/>
      <c r="J89" s="2490"/>
      <c r="K89" s="2490"/>
      <c r="L89" s="2491"/>
      <c r="M89" s="2490"/>
      <c r="N89" s="2492"/>
      <c r="O89" s="2492"/>
      <c r="P89" s="2499"/>
      <c r="Q89" s="2493"/>
      <c r="R89" s="2493"/>
      <c r="S89" s="2494"/>
      <c r="T89" s="2495"/>
    </row>
    <row r="90" spans="1:20" s="495" customFormat="1" ht="14.25" hidden="1" customHeight="1">
      <c r="A90" s="513"/>
      <c r="B90" s="522"/>
      <c r="C90" s="2500"/>
      <c r="D90" s="2488"/>
      <c r="E90" s="3374"/>
      <c r="F90" s="884"/>
      <c r="G90" s="2489"/>
      <c r="H90" s="2490"/>
      <c r="I90" s="2490"/>
      <c r="J90" s="2490"/>
      <c r="K90" s="2490"/>
      <c r="L90" s="2491"/>
      <c r="M90" s="2490"/>
      <c r="N90" s="2492"/>
      <c r="O90" s="2492"/>
      <c r="P90" s="886"/>
      <c r="Q90" s="2493"/>
      <c r="R90" s="2493"/>
      <c r="S90" s="2494"/>
      <c r="T90" s="2495"/>
    </row>
    <row r="91" spans="1:20" s="495" customFormat="1" ht="14.25" hidden="1" customHeight="1">
      <c r="A91" s="513"/>
      <c r="B91" s="522"/>
      <c r="C91" s="2500"/>
      <c r="D91" s="2488"/>
      <c r="E91" s="3374"/>
      <c r="F91" s="884"/>
      <c r="G91" s="2489"/>
      <c r="H91" s="2490"/>
      <c r="I91" s="2496"/>
      <c r="J91" s="2490"/>
      <c r="K91" s="2490"/>
      <c r="L91" s="2491"/>
      <c r="M91" s="2490"/>
      <c r="N91" s="2492"/>
      <c r="O91" s="2492"/>
      <c r="P91" s="2497"/>
      <c r="Q91" s="2493"/>
      <c r="R91" s="2493"/>
      <c r="S91" s="2494"/>
      <c r="T91" s="2495"/>
    </row>
    <row r="92" spans="1:20" s="495" customFormat="1" ht="14.25" hidden="1" customHeight="1">
      <c r="A92" s="513"/>
      <c r="B92" s="522"/>
      <c r="C92" s="2500"/>
      <c r="D92" s="2488"/>
      <c r="E92" s="3374"/>
      <c r="F92" s="884"/>
      <c r="G92" s="2489"/>
      <c r="H92" s="2490"/>
      <c r="I92" s="2496"/>
      <c r="J92" s="2490"/>
      <c r="K92" s="2490"/>
      <c r="L92" s="2491"/>
      <c r="M92" s="2490"/>
      <c r="N92" s="2492"/>
      <c r="O92" s="2492"/>
      <c r="P92" s="2497"/>
      <c r="Q92" s="2493"/>
      <c r="R92" s="2493"/>
      <c r="S92" s="2494"/>
      <c r="T92" s="2495"/>
    </row>
    <row r="93" spans="1:20" s="495" customFormat="1" ht="14.25" hidden="1" customHeight="1">
      <c r="A93" s="513"/>
      <c r="B93" s="522"/>
      <c r="C93" s="2500"/>
      <c r="D93" s="2488"/>
      <c r="E93" s="3374"/>
      <c r="F93" s="884"/>
      <c r="G93" s="2489"/>
      <c r="H93" s="2490"/>
      <c r="I93" s="2496"/>
      <c r="J93" s="2490"/>
      <c r="K93" s="2490"/>
      <c r="L93" s="2491"/>
      <c r="M93" s="2490"/>
      <c r="N93" s="2492"/>
      <c r="O93" s="2492"/>
      <c r="P93" s="2497"/>
      <c r="Q93" s="2493"/>
      <c r="R93" s="2493"/>
      <c r="S93" s="2494"/>
      <c r="T93" s="2495"/>
    </row>
    <row r="94" spans="1:20" s="495" customFormat="1" ht="14.25" hidden="1" customHeight="1">
      <c r="A94" s="513"/>
      <c r="B94" s="522"/>
      <c r="C94" s="2500"/>
      <c r="D94" s="2488"/>
      <c r="E94" s="3374"/>
      <c r="F94" s="884"/>
      <c r="G94" s="2489"/>
      <c r="H94" s="2490"/>
      <c r="I94" s="2496"/>
      <c r="J94" s="2490"/>
      <c r="K94" s="2490"/>
      <c r="L94" s="2491"/>
      <c r="M94" s="2490"/>
      <c r="N94" s="2492"/>
      <c r="O94" s="2492"/>
      <c r="P94" s="2497"/>
      <c r="Q94" s="2493"/>
      <c r="R94" s="2493"/>
      <c r="S94" s="2494"/>
      <c r="T94" s="2495"/>
    </row>
    <row r="95" spans="1:20" s="495" customFormat="1" ht="14.25" hidden="1" customHeight="1">
      <c r="A95" s="513"/>
      <c r="B95" s="522"/>
      <c r="C95" s="2500"/>
      <c r="D95" s="2488"/>
      <c r="E95" s="3374"/>
      <c r="F95" s="747"/>
      <c r="G95" s="2489"/>
      <c r="H95" s="2490"/>
      <c r="I95" s="2490"/>
      <c r="J95" s="2490"/>
      <c r="K95" s="2490"/>
      <c r="L95" s="2491"/>
      <c r="M95" s="2490"/>
      <c r="N95" s="2492"/>
      <c r="O95" s="2492"/>
      <c r="P95" s="886"/>
      <c r="Q95" s="2493"/>
      <c r="R95" s="2493"/>
      <c r="S95" s="2494"/>
      <c r="T95" s="2495"/>
    </row>
    <row r="96" spans="1:20" s="495" customFormat="1" ht="14.25" hidden="1" customHeight="1">
      <c r="A96" s="513"/>
      <c r="B96" s="522"/>
      <c r="C96" s="2500"/>
      <c r="D96" s="2488"/>
      <c r="E96" s="3374"/>
      <c r="F96" s="747"/>
      <c r="G96" s="2489"/>
      <c r="H96" s="2490"/>
      <c r="I96" s="2496"/>
      <c r="J96" s="2490"/>
      <c r="K96" s="2490"/>
      <c r="L96" s="2491"/>
      <c r="M96" s="2490"/>
      <c r="N96" s="2492"/>
      <c r="O96" s="2492"/>
      <c r="P96" s="2499"/>
      <c r="Q96" s="2493"/>
      <c r="R96" s="2493"/>
      <c r="S96" s="2494"/>
      <c r="T96" s="2495"/>
    </row>
    <row r="97" spans="1:20" ht="14.25" customHeight="1">
      <c r="A97" s="778"/>
      <c r="B97" s="786"/>
      <c r="C97" s="786"/>
      <c r="D97" s="2501" t="s">
        <v>258</v>
      </c>
      <c r="E97" s="3375"/>
      <c r="F97" s="2503"/>
      <c r="G97" s="2504"/>
      <c r="H97" s="2502"/>
      <c r="I97" s="2505"/>
      <c r="J97" s="2502"/>
      <c r="K97" s="2502"/>
      <c r="L97" s="2506"/>
      <c r="M97" s="2502"/>
      <c r="N97" s="2507"/>
      <c r="O97" s="2507"/>
      <c r="P97" s="2508"/>
      <c r="Q97" s="2509">
        <f>Q98+Q99+Q100</f>
        <v>0</v>
      </c>
      <c r="R97" s="2509">
        <f>R98+R99+R100</f>
        <v>77520000</v>
      </c>
      <c r="S97" s="2510">
        <f>S98+S99+S100</f>
        <v>-77520000</v>
      </c>
      <c r="T97" s="2511">
        <f t="shared" ref="T97" si="36">S97/R97</f>
        <v>-1</v>
      </c>
    </row>
    <row r="98" spans="1:20" ht="14.25" customHeight="1">
      <c r="A98" s="778"/>
      <c r="B98" s="786"/>
      <c r="C98" s="786"/>
      <c r="D98" s="844"/>
      <c r="E98" s="3637" t="s">
        <v>3067</v>
      </c>
      <c r="F98" s="3638"/>
      <c r="G98" s="3638"/>
      <c r="H98" s="3638"/>
      <c r="I98" s="3638"/>
      <c r="J98" s="3638"/>
      <c r="K98" s="3638"/>
      <c r="L98" s="3638"/>
      <c r="M98" s="3638"/>
      <c r="N98" s="3638"/>
      <c r="O98" s="3638"/>
      <c r="P98" s="3639"/>
      <c r="Q98" s="645">
        <v>0</v>
      </c>
      <c r="R98" s="645">
        <v>37520000</v>
      </c>
      <c r="S98" s="646">
        <f t="shared" ref="S98:S107" si="37">Q98-R98</f>
        <v>-37520000</v>
      </c>
      <c r="T98" s="647">
        <f t="shared" ref="T98:T99" si="38">S98/R98</f>
        <v>-1</v>
      </c>
    </row>
    <row r="99" spans="1:20" ht="14.25" customHeight="1">
      <c r="A99" s="778"/>
      <c r="B99" s="786"/>
      <c r="C99" s="786"/>
      <c r="D99" s="786"/>
      <c r="E99" s="3637" t="s">
        <v>3068</v>
      </c>
      <c r="F99" s="3638"/>
      <c r="G99" s="3638"/>
      <c r="H99" s="3638"/>
      <c r="I99" s="3638"/>
      <c r="J99" s="3638"/>
      <c r="K99" s="3638"/>
      <c r="L99" s="3638"/>
      <c r="M99" s="3638"/>
      <c r="N99" s="3638"/>
      <c r="O99" s="3638"/>
      <c r="P99" s="3639"/>
      <c r="Q99" s="645">
        <v>0</v>
      </c>
      <c r="R99" s="645">
        <v>24000000</v>
      </c>
      <c r="S99" s="646">
        <f t="shared" si="37"/>
        <v>-24000000</v>
      </c>
      <c r="T99" s="647">
        <f t="shared" si="38"/>
        <v>-1</v>
      </c>
    </row>
    <row r="100" spans="1:20" ht="14.25" customHeight="1">
      <c r="A100" s="778"/>
      <c r="B100" s="786"/>
      <c r="C100" s="846"/>
      <c r="D100" s="846"/>
      <c r="E100" s="3637" t="s">
        <v>3009</v>
      </c>
      <c r="F100" s="3638"/>
      <c r="G100" s="3638"/>
      <c r="H100" s="3638"/>
      <c r="I100" s="3638"/>
      <c r="J100" s="3638"/>
      <c r="K100" s="3638"/>
      <c r="L100" s="3638"/>
      <c r="M100" s="3638"/>
      <c r="N100" s="3638"/>
      <c r="O100" s="3638"/>
      <c r="P100" s="3639"/>
      <c r="Q100" s="645">
        <v>0</v>
      </c>
      <c r="R100" s="645">
        <v>16000000</v>
      </c>
      <c r="S100" s="646">
        <f t="shared" si="37"/>
        <v>-16000000</v>
      </c>
      <c r="T100" s="647">
        <f>S100/R100</f>
        <v>-1</v>
      </c>
    </row>
    <row r="101" spans="1:20" ht="14.45" customHeight="1">
      <c r="A101" s="778"/>
      <c r="B101" s="786"/>
      <c r="C101" s="3685" t="s">
        <v>3169</v>
      </c>
      <c r="D101" s="3686"/>
      <c r="E101" s="3686"/>
      <c r="F101" s="3686"/>
      <c r="G101" s="3686"/>
      <c r="H101" s="3686"/>
      <c r="I101" s="3686"/>
      <c r="J101" s="3686"/>
      <c r="K101" s="3686"/>
      <c r="L101" s="3686"/>
      <c r="M101" s="3686"/>
      <c r="N101" s="3686"/>
      <c r="O101" s="3686"/>
      <c r="P101" s="3687"/>
      <c r="Q101" s="866">
        <f>Q102</f>
        <v>0</v>
      </c>
      <c r="R101" s="866">
        <f>R102</f>
        <v>1316000</v>
      </c>
      <c r="S101" s="924">
        <f t="shared" si="37"/>
        <v>-1316000</v>
      </c>
      <c r="T101" s="925">
        <f t="shared" ref="T101" si="39">S101/R101</f>
        <v>-1</v>
      </c>
    </row>
    <row r="102" spans="1:20" ht="14.45" customHeight="1">
      <c r="A102" s="778"/>
      <c r="B102" s="786"/>
      <c r="C102" s="626"/>
      <c r="D102" s="684" t="s">
        <v>54</v>
      </c>
      <c r="E102" s="2229"/>
      <c r="F102" s="1269"/>
      <c r="G102" s="636"/>
      <c r="H102" s="635"/>
      <c r="I102" s="635"/>
      <c r="J102" s="635"/>
      <c r="K102" s="635"/>
      <c r="L102" s="1268"/>
      <c r="M102" s="635"/>
      <c r="N102" s="637"/>
      <c r="O102" s="637"/>
      <c r="P102" s="635"/>
      <c r="Q102" s="638">
        <f>Q103</f>
        <v>0</v>
      </c>
      <c r="R102" s="638">
        <f>R103</f>
        <v>1316000</v>
      </c>
      <c r="S102" s="793">
        <f t="shared" si="37"/>
        <v>-1316000</v>
      </c>
      <c r="T102" s="873">
        <f t="shared" ref="T102" si="40">S102/R102</f>
        <v>-1</v>
      </c>
    </row>
    <row r="103" spans="1:20" ht="14.45" customHeight="1">
      <c r="A103" s="778"/>
      <c r="B103" s="786"/>
      <c r="C103" s="618"/>
      <c r="D103" s="703"/>
      <c r="E103" s="3637" t="s">
        <v>252</v>
      </c>
      <c r="F103" s="3638"/>
      <c r="G103" s="3638"/>
      <c r="H103" s="3638"/>
      <c r="I103" s="3638"/>
      <c r="J103" s="3638"/>
      <c r="K103" s="3638"/>
      <c r="L103" s="3638"/>
      <c r="M103" s="3638"/>
      <c r="N103" s="3638"/>
      <c r="O103" s="3638"/>
      <c r="P103" s="3639"/>
      <c r="Q103" s="1049">
        <v>0</v>
      </c>
      <c r="R103" s="1049">
        <v>1316000</v>
      </c>
      <c r="S103" s="1050">
        <f t="shared" si="37"/>
        <v>-1316000</v>
      </c>
      <c r="T103" s="1051">
        <f t="shared" ref="T103" si="41">S103/R103</f>
        <v>-1</v>
      </c>
    </row>
    <row r="104" spans="1:20" ht="14.45" customHeight="1">
      <c r="A104" s="778"/>
      <c r="B104" s="786"/>
      <c r="C104" s="3634" t="s">
        <v>259</v>
      </c>
      <c r="D104" s="3635"/>
      <c r="E104" s="3635"/>
      <c r="F104" s="3635"/>
      <c r="G104" s="3635"/>
      <c r="H104" s="3635"/>
      <c r="I104" s="3635"/>
      <c r="J104" s="3635"/>
      <c r="K104" s="3635"/>
      <c r="L104" s="3635"/>
      <c r="M104" s="3635"/>
      <c r="N104" s="3635"/>
      <c r="O104" s="3635"/>
      <c r="P104" s="3636"/>
      <c r="Q104" s="866">
        <f>Q105</f>
        <v>240000</v>
      </c>
      <c r="R104" s="866">
        <f>R105</f>
        <v>240000</v>
      </c>
      <c r="S104" s="924">
        <f t="shared" si="37"/>
        <v>0</v>
      </c>
      <c r="T104" s="925">
        <f t="shared" ref="T104:T107" si="42">S104/R104</f>
        <v>0</v>
      </c>
    </row>
    <row r="105" spans="1:20" ht="14.45" customHeight="1">
      <c r="A105" s="778"/>
      <c r="B105" s="786"/>
      <c r="C105" s="786"/>
      <c r="D105" s="684" t="s">
        <v>223</v>
      </c>
      <c r="E105" s="2229"/>
      <c r="F105" s="1269"/>
      <c r="G105" s="636"/>
      <c r="H105" s="635"/>
      <c r="I105" s="635"/>
      <c r="J105" s="635"/>
      <c r="K105" s="635"/>
      <c r="L105" s="1268"/>
      <c r="M105" s="635"/>
      <c r="N105" s="637"/>
      <c r="O105" s="637"/>
      <c r="P105" s="635"/>
      <c r="Q105" s="638">
        <f>Q106</f>
        <v>240000</v>
      </c>
      <c r="R105" s="638">
        <f>R106</f>
        <v>240000</v>
      </c>
      <c r="S105" s="793">
        <f t="shared" si="37"/>
        <v>0</v>
      </c>
      <c r="T105" s="873">
        <f t="shared" si="42"/>
        <v>0</v>
      </c>
    </row>
    <row r="106" spans="1:20" ht="14.45" customHeight="1">
      <c r="A106" s="778"/>
      <c r="B106" s="786"/>
      <c r="C106" s="786"/>
      <c r="D106" s="786"/>
      <c r="E106" s="3637" t="s">
        <v>2863</v>
      </c>
      <c r="F106" s="3638"/>
      <c r="G106" s="3638"/>
      <c r="H106" s="3638"/>
      <c r="I106" s="3638"/>
      <c r="J106" s="3638"/>
      <c r="K106" s="3638"/>
      <c r="L106" s="3638"/>
      <c r="M106" s="3638"/>
      <c r="N106" s="3638"/>
      <c r="O106" s="3638"/>
      <c r="P106" s="3639"/>
      <c r="Q106" s="645">
        <f>P107</f>
        <v>240000</v>
      </c>
      <c r="R106" s="645">
        <v>240000</v>
      </c>
      <c r="S106" s="646">
        <f t="shared" si="37"/>
        <v>0</v>
      </c>
      <c r="T106" s="647">
        <f t="shared" si="42"/>
        <v>0</v>
      </c>
    </row>
    <row r="107" spans="1:20" ht="14.45" customHeight="1">
      <c r="A107" s="778"/>
      <c r="B107" s="786"/>
      <c r="C107" s="786"/>
      <c r="D107" s="786"/>
      <c r="E107" s="1164"/>
      <c r="F107" s="2002" t="s">
        <v>1326</v>
      </c>
      <c r="G107" s="1004"/>
      <c r="H107" s="992"/>
      <c r="I107" s="992"/>
      <c r="J107" s="992"/>
      <c r="K107" s="992"/>
      <c r="L107" s="2003"/>
      <c r="M107" s="992"/>
      <c r="N107" s="1022"/>
      <c r="O107" s="1022"/>
      <c r="P107" s="2442">
        <f>P108</f>
        <v>240000</v>
      </c>
      <c r="Q107" s="1018">
        <f>P107</f>
        <v>240000</v>
      </c>
      <c r="R107" s="2443">
        <v>240000</v>
      </c>
      <c r="S107" s="1019">
        <f t="shared" si="37"/>
        <v>0</v>
      </c>
      <c r="T107" s="1637">
        <f t="shared" si="42"/>
        <v>0</v>
      </c>
    </row>
    <row r="108" spans="1:20" ht="14.45" customHeight="1" thickBot="1">
      <c r="A108" s="898"/>
      <c r="B108" s="899"/>
      <c r="C108" s="899"/>
      <c r="D108" s="899"/>
      <c r="E108" s="3298"/>
      <c r="F108" s="2212" t="s">
        <v>1327</v>
      </c>
      <c r="G108" s="2213">
        <v>240000</v>
      </c>
      <c r="H108" s="2214" t="s">
        <v>1328</v>
      </c>
      <c r="I108" s="2215">
        <v>1</v>
      </c>
      <c r="J108" s="2214"/>
      <c r="K108" s="2216"/>
      <c r="L108" s="2214"/>
      <c r="M108" s="2214"/>
      <c r="N108" s="2217"/>
      <c r="O108" s="2217" t="s">
        <v>964</v>
      </c>
      <c r="P108" s="2218">
        <f>G108*I108</f>
        <v>240000</v>
      </c>
      <c r="Q108" s="2512"/>
      <c r="R108" s="2513"/>
      <c r="S108" s="2514"/>
      <c r="T108" s="2515"/>
    </row>
    <row r="109" spans="1:20">
      <c r="R109" s="842"/>
    </row>
    <row r="112" spans="1:20">
      <c r="K112" s="128" t="s">
        <v>2981</v>
      </c>
    </row>
  </sheetData>
  <mergeCells count="42">
    <mergeCell ref="E9:P9"/>
    <mergeCell ref="E10:P10"/>
    <mergeCell ref="E59:P59"/>
    <mergeCell ref="E64:P64"/>
    <mergeCell ref="E18:P18"/>
    <mergeCell ref="I24:J24"/>
    <mergeCell ref="I16:J16"/>
    <mergeCell ref="I20:J20"/>
    <mergeCell ref="I21:J21"/>
    <mergeCell ref="I22:J22"/>
    <mergeCell ref="E11:P11"/>
    <mergeCell ref="E14:P14"/>
    <mergeCell ref="I23:J23"/>
    <mergeCell ref="E46:P46"/>
    <mergeCell ref="E50:P50"/>
    <mergeCell ref="E53:P53"/>
    <mergeCell ref="A1:T1"/>
    <mergeCell ref="S2:T2"/>
    <mergeCell ref="A3:E3"/>
    <mergeCell ref="G3:P4"/>
    <mergeCell ref="Q3:Q4"/>
    <mergeCell ref="R3:R4"/>
    <mergeCell ref="S3:S4"/>
    <mergeCell ref="T3:T4"/>
    <mergeCell ref="E74:P74"/>
    <mergeCell ref="E79:P79"/>
    <mergeCell ref="E56:P56"/>
    <mergeCell ref="E69:P69"/>
    <mergeCell ref="E30:P30"/>
    <mergeCell ref="E33:P33"/>
    <mergeCell ref="E36:P36"/>
    <mergeCell ref="E42:P42"/>
    <mergeCell ref="E43:P43"/>
    <mergeCell ref="E106:P106"/>
    <mergeCell ref="C77:P77"/>
    <mergeCell ref="C101:P101"/>
    <mergeCell ref="C104:P104"/>
    <mergeCell ref="E87:P87"/>
    <mergeCell ref="E98:P98"/>
    <mergeCell ref="E99:P99"/>
    <mergeCell ref="E100:P100"/>
    <mergeCell ref="E103:P10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4" fitToHeight="0" orientation="landscape" r:id="rId1"/>
  <headerFooter scaleWithDoc="0"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70C0"/>
    <pageSetUpPr fitToPage="1"/>
  </sheetPr>
  <dimension ref="A1:X292"/>
  <sheetViews>
    <sheetView view="pageBreakPreview" zoomScaleNormal="85" zoomScaleSheetLayoutView="100" workbookViewId="0">
      <pane ySplit="7" topLeftCell="A246" activePane="bottomLeft" state="frozen"/>
      <selection activeCell="O40" sqref="O39:O40"/>
      <selection pane="bottomLeft" activeCell="V276" sqref="V276"/>
    </sheetView>
  </sheetViews>
  <sheetFormatPr defaultColWidth="9" defaultRowHeight="16.5"/>
  <cols>
    <col min="1" max="1" width="3.625" style="930" customWidth="1"/>
    <col min="2" max="4" width="3.625" style="962" customWidth="1"/>
    <col min="5" max="5" width="10.625" style="725" customWidth="1"/>
    <col min="6" max="6" width="33.25" style="2221" customWidth="1"/>
    <col min="7" max="7" width="13.875" style="963" customWidth="1"/>
    <col min="8" max="8" width="2.125" style="930" customWidth="1"/>
    <col min="9" max="9" width="7" style="930" customWidth="1"/>
    <col min="10" max="10" width="2.125" style="930" customWidth="1"/>
    <col min="11" max="11" width="5" style="930" customWidth="1"/>
    <col min="12" max="12" width="2.625" style="930" customWidth="1"/>
    <col min="13" max="13" width="5.875" style="930" customWidth="1"/>
    <col min="14" max="14" width="5.625" style="964" customWidth="1"/>
    <col min="15" max="15" width="2.625" style="964" customWidth="1"/>
    <col min="16" max="16" width="13.625" style="930" customWidth="1"/>
    <col min="17" max="17" width="10.625" style="965" customWidth="1"/>
    <col min="18" max="18" width="10.625" style="966" customWidth="1"/>
    <col min="19" max="19" width="10.625" style="2271" customWidth="1"/>
    <col min="20" max="20" width="10.625" style="2272" customWidth="1"/>
    <col min="21" max="21" width="9" style="930"/>
    <col min="22" max="23" width="10" style="930" bestFit="1" customWidth="1"/>
    <col min="24" max="16384" width="9" style="930"/>
  </cols>
  <sheetData>
    <row r="1" spans="1:24" ht="35.1" customHeight="1">
      <c r="A1" s="3757" t="s">
        <v>2097</v>
      </c>
      <c r="B1" s="3757"/>
      <c r="C1" s="3757"/>
      <c r="D1" s="3757"/>
      <c r="E1" s="3757"/>
      <c r="F1" s="3757"/>
      <c r="G1" s="3757"/>
      <c r="H1" s="3757"/>
      <c r="I1" s="3757"/>
      <c r="J1" s="3757"/>
      <c r="K1" s="3757"/>
      <c r="L1" s="3757"/>
      <c r="M1" s="3757"/>
      <c r="N1" s="3757"/>
      <c r="O1" s="3757"/>
      <c r="P1" s="3757"/>
      <c r="Q1" s="3757"/>
      <c r="R1" s="3757"/>
      <c r="S1" s="3757"/>
      <c r="T1" s="3768"/>
    </row>
    <row r="2" spans="1:24" ht="15" customHeight="1" thickBot="1">
      <c r="A2" s="930" t="s">
        <v>285</v>
      </c>
      <c r="E2" s="719"/>
      <c r="S2" s="3661" t="s">
        <v>286</v>
      </c>
      <c r="T2" s="3661"/>
    </row>
    <row r="3" spans="1:24" s="964" customFormat="1" ht="15" customHeight="1">
      <c r="A3" s="3769" t="s">
        <v>2</v>
      </c>
      <c r="B3" s="3770"/>
      <c r="C3" s="3770"/>
      <c r="D3" s="3770"/>
      <c r="E3" s="3770"/>
      <c r="F3" s="2346"/>
      <c r="G3" s="3771" t="s">
        <v>3</v>
      </c>
      <c r="H3" s="3771"/>
      <c r="I3" s="3771"/>
      <c r="J3" s="3771"/>
      <c r="K3" s="3771"/>
      <c r="L3" s="3771"/>
      <c r="M3" s="3771"/>
      <c r="N3" s="3771"/>
      <c r="O3" s="3771"/>
      <c r="P3" s="3772"/>
      <c r="Q3" s="3775" t="s">
        <v>4</v>
      </c>
      <c r="R3" s="3777" t="s">
        <v>326</v>
      </c>
      <c r="S3" s="3779" t="s">
        <v>5</v>
      </c>
      <c r="T3" s="3781" t="s">
        <v>6</v>
      </c>
    </row>
    <row r="4" spans="1:24" s="964" customFormat="1" ht="15" customHeight="1" thickBot="1">
      <c r="A4" s="2347" t="s">
        <v>7</v>
      </c>
      <c r="B4" s="2348" t="s">
        <v>8</v>
      </c>
      <c r="C4" s="2348" t="s">
        <v>9</v>
      </c>
      <c r="D4" s="2348" t="s">
        <v>10</v>
      </c>
      <c r="E4" s="2348" t="s">
        <v>11</v>
      </c>
      <c r="F4" s="2349" t="s">
        <v>12</v>
      </c>
      <c r="G4" s="3773"/>
      <c r="H4" s="3773"/>
      <c r="I4" s="3773"/>
      <c r="J4" s="3773"/>
      <c r="K4" s="3773"/>
      <c r="L4" s="3773"/>
      <c r="M4" s="3773"/>
      <c r="N4" s="3773"/>
      <c r="O4" s="3773"/>
      <c r="P4" s="3774"/>
      <c r="Q4" s="3776"/>
      <c r="R4" s="3778"/>
      <c r="S4" s="3780"/>
      <c r="T4" s="3782"/>
    </row>
    <row r="5" spans="1:24" ht="15" customHeight="1" thickBot="1">
      <c r="A5" s="1260" t="s">
        <v>287</v>
      </c>
      <c r="B5" s="1261"/>
      <c r="C5" s="1261"/>
      <c r="D5" s="1261"/>
      <c r="E5" s="1261"/>
      <c r="F5" s="1262"/>
      <c r="G5" s="612"/>
      <c r="H5" s="611"/>
      <c r="I5" s="611"/>
      <c r="J5" s="611"/>
      <c r="K5" s="611"/>
      <c r="L5" s="611"/>
      <c r="M5" s="611"/>
      <c r="N5" s="613"/>
      <c r="O5" s="613"/>
      <c r="P5" s="611"/>
      <c r="Q5" s="614">
        <f>SUM(Q6)</f>
        <v>215312000</v>
      </c>
      <c r="R5" s="614">
        <f>SUM(R6)</f>
        <v>587720000</v>
      </c>
      <c r="S5" s="937">
        <f t="shared" ref="S5:S11" si="0">Q5-R5</f>
        <v>-372408000</v>
      </c>
      <c r="T5" s="616">
        <f t="shared" ref="T5:T10" si="1">S5/R5</f>
        <v>-0.63364867624038657</v>
      </c>
    </row>
    <row r="6" spans="1:24" ht="15" customHeight="1">
      <c r="A6" s="617"/>
      <c r="B6" s="618" t="s">
        <v>288</v>
      </c>
      <c r="C6" s="619"/>
      <c r="D6" s="619"/>
      <c r="E6" s="619"/>
      <c r="F6" s="2223"/>
      <c r="G6" s="621"/>
      <c r="H6" s="620"/>
      <c r="I6" s="620"/>
      <c r="J6" s="620"/>
      <c r="K6" s="620"/>
      <c r="L6" s="620"/>
      <c r="M6" s="620"/>
      <c r="N6" s="622"/>
      <c r="O6" s="622"/>
      <c r="P6" s="620"/>
      <c r="Q6" s="623">
        <f>Q7+Q97+Q240+Q280</f>
        <v>215312000</v>
      </c>
      <c r="R6" s="623">
        <f>R7+R97+R240+R280</f>
        <v>587720000</v>
      </c>
      <c r="S6" s="624">
        <f t="shared" si="0"/>
        <v>-372408000</v>
      </c>
      <c r="T6" s="625">
        <f t="shared" si="1"/>
        <v>-0.63364867624038657</v>
      </c>
      <c r="V6" s="1651"/>
      <c r="W6" s="1651"/>
    </row>
    <row r="7" spans="1:24" ht="15" customHeight="1">
      <c r="A7" s="617"/>
      <c r="B7" s="632"/>
      <c r="C7" s="627" t="s">
        <v>289</v>
      </c>
      <c r="D7" s="627"/>
      <c r="E7" s="627"/>
      <c r="F7" s="2088"/>
      <c r="G7" s="629"/>
      <c r="H7" s="628"/>
      <c r="I7" s="628"/>
      <c r="J7" s="628"/>
      <c r="K7" s="628"/>
      <c r="L7" s="628"/>
      <c r="M7" s="628"/>
      <c r="N7" s="630"/>
      <c r="O7" s="630"/>
      <c r="P7" s="628"/>
      <c r="Q7" s="631">
        <f>Q8+Q24+Q95</f>
        <v>123490000</v>
      </c>
      <c r="R7" s="631">
        <f>R8+R24+R95</f>
        <v>278774000</v>
      </c>
      <c r="S7" s="624">
        <f t="shared" si="0"/>
        <v>-155284000</v>
      </c>
      <c r="T7" s="625">
        <f t="shared" si="1"/>
        <v>-0.55702468666374916</v>
      </c>
    </row>
    <row r="8" spans="1:24" ht="15" customHeight="1" thickBot="1">
      <c r="A8" s="617"/>
      <c r="B8" s="632"/>
      <c r="C8" s="719"/>
      <c r="D8" s="1306" t="s">
        <v>290</v>
      </c>
      <c r="E8" s="3288"/>
      <c r="F8" s="1305"/>
      <c r="G8" s="717"/>
      <c r="H8" s="716"/>
      <c r="I8" s="716"/>
      <c r="J8" s="716"/>
      <c r="K8" s="716"/>
      <c r="L8" s="716"/>
      <c r="M8" s="716"/>
      <c r="N8" s="718"/>
      <c r="O8" s="718"/>
      <c r="P8" s="716"/>
      <c r="Q8" s="685">
        <f>Q9+Q10+Q11+Q23</f>
        <v>37340000</v>
      </c>
      <c r="R8" s="685">
        <f>R9+R10+R11+R23</f>
        <v>183764000</v>
      </c>
      <c r="S8" s="1307">
        <f t="shared" si="0"/>
        <v>-146424000</v>
      </c>
      <c r="T8" s="1308">
        <f t="shared" si="1"/>
        <v>-0.79680459720075747</v>
      </c>
    </row>
    <row r="9" spans="1:24" ht="15" customHeight="1">
      <c r="A9" s="617"/>
      <c r="B9" s="632"/>
      <c r="C9" s="719"/>
      <c r="D9" s="632"/>
      <c r="E9" s="3637" t="s">
        <v>3089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8"/>
      <c r="P9" s="3639"/>
      <c r="Q9" s="645">
        <v>0</v>
      </c>
      <c r="R9" s="645">
        <v>90615000</v>
      </c>
      <c r="S9" s="646">
        <f t="shared" si="0"/>
        <v>-90615000</v>
      </c>
      <c r="T9" s="647">
        <f t="shared" si="1"/>
        <v>-1</v>
      </c>
      <c r="X9" s="1651">
        <f>Q8+Q24+Q95+Q100</f>
        <v>184082000</v>
      </c>
    </row>
    <row r="10" spans="1:24" ht="15" customHeight="1">
      <c r="A10" s="617"/>
      <c r="B10" s="632"/>
      <c r="C10" s="719"/>
      <c r="D10" s="632"/>
      <c r="E10" s="3637" t="s">
        <v>3001</v>
      </c>
      <c r="F10" s="3638"/>
      <c r="G10" s="3638"/>
      <c r="H10" s="3638"/>
      <c r="I10" s="3638"/>
      <c r="J10" s="3638"/>
      <c r="K10" s="3638"/>
      <c r="L10" s="3638"/>
      <c r="M10" s="3638"/>
      <c r="N10" s="3638"/>
      <c r="O10" s="3638"/>
      <c r="P10" s="3639"/>
      <c r="Q10" s="645">
        <v>0</v>
      </c>
      <c r="R10" s="645">
        <v>76610000</v>
      </c>
      <c r="S10" s="646">
        <f t="shared" si="0"/>
        <v>-76610000</v>
      </c>
      <c r="T10" s="647">
        <f t="shared" si="1"/>
        <v>-1</v>
      </c>
      <c r="W10" s="1651"/>
    </row>
    <row r="11" spans="1:24" ht="15" customHeight="1">
      <c r="A11" s="617"/>
      <c r="B11" s="632"/>
      <c r="C11" s="719"/>
      <c r="D11" s="632"/>
      <c r="E11" s="3637" t="s">
        <v>208</v>
      </c>
      <c r="F11" s="3638"/>
      <c r="G11" s="3638"/>
      <c r="H11" s="3638"/>
      <c r="I11" s="3638"/>
      <c r="J11" s="3638"/>
      <c r="K11" s="3638"/>
      <c r="L11" s="3638"/>
      <c r="M11" s="3638"/>
      <c r="N11" s="3638"/>
      <c r="O11" s="3638"/>
      <c r="P11" s="3639"/>
      <c r="Q11" s="645">
        <f>P12+P14+P16+P18+P20</f>
        <v>37340000</v>
      </c>
      <c r="R11" s="645">
        <v>0</v>
      </c>
      <c r="S11" s="646">
        <f t="shared" si="0"/>
        <v>37340000</v>
      </c>
      <c r="T11" s="647"/>
    </row>
    <row r="12" spans="1:24" ht="15" customHeight="1">
      <c r="A12" s="617"/>
      <c r="B12" s="632"/>
      <c r="C12" s="719"/>
      <c r="D12" s="632"/>
      <c r="F12" s="1507" t="s">
        <v>41</v>
      </c>
      <c r="G12" s="686"/>
      <c r="H12" s="679"/>
      <c r="I12" s="679"/>
      <c r="J12" s="679"/>
      <c r="K12" s="679"/>
      <c r="L12" s="679"/>
      <c r="M12" s="679"/>
      <c r="N12" s="679"/>
      <c r="O12" s="687"/>
      <c r="P12" s="681">
        <f>SUM(P13:P13)</f>
        <v>6240000</v>
      </c>
      <c r="Q12" s="653">
        <f>P12</f>
        <v>6240000</v>
      </c>
      <c r="R12" s="653">
        <v>0</v>
      </c>
      <c r="S12" s="654">
        <f t="shared" ref="S12" si="2">Q12-R12</f>
        <v>6240000</v>
      </c>
      <c r="T12" s="688"/>
    </row>
    <row r="13" spans="1:24" ht="15" customHeight="1">
      <c r="A13" s="617"/>
      <c r="B13" s="632"/>
      <c r="C13" s="719"/>
      <c r="D13" s="632"/>
      <c r="F13" s="1511" t="s">
        <v>42</v>
      </c>
      <c r="G13" s="880">
        <v>130000</v>
      </c>
      <c r="H13" s="2522" t="s">
        <v>21</v>
      </c>
      <c r="I13" s="876">
        <v>4</v>
      </c>
      <c r="J13" s="2522" t="s">
        <v>21</v>
      </c>
      <c r="K13" s="881">
        <v>12</v>
      </c>
      <c r="L13" s="2350"/>
      <c r="M13" s="2350"/>
      <c r="N13" s="2351"/>
      <c r="O13" s="692" t="s">
        <v>22</v>
      </c>
      <c r="P13" s="693">
        <f>G13*I13*K13</f>
        <v>6240000</v>
      </c>
      <c r="Q13" s="666"/>
      <c r="R13" s="694"/>
      <c r="S13" s="695"/>
      <c r="T13" s="696"/>
    </row>
    <row r="14" spans="1:24" ht="15" customHeight="1">
      <c r="A14" s="617"/>
      <c r="B14" s="632"/>
      <c r="C14" s="719"/>
      <c r="D14" s="632"/>
      <c r="F14" s="1507" t="s">
        <v>45</v>
      </c>
      <c r="G14" s="686"/>
      <c r="H14" s="679"/>
      <c r="I14" s="679"/>
      <c r="J14" s="679"/>
      <c r="K14" s="679"/>
      <c r="L14" s="679"/>
      <c r="M14" s="679"/>
      <c r="N14" s="679"/>
      <c r="O14" s="679"/>
      <c r="P14" s="681">
        <f>SUM(P15:P15)</f>
        <v>21684000</v>
      </c>
      <c r="Q14" s="653">
        <f>P14</f>
        <v>21684000</v>
      </c>
      <c r="R14" s="653">
        <v>0</v>
      </c>
      <c r="S14" s="654">
        <f t="shared" ref="S14" si="3">Q14-R14</f>
        <v>21684000</v>
      </c>
      <c r="T14" s="688"/>
    </row>
    <row r="15" spans="1:24" ht="15" customHeight="1">
      <c r="A15" s="617"/>
      <c r="B15" s="632"/>
      <c r="C15" s="719"/>
      <c r="D15" s="632"/>
      <c r="F15" s="1511" t="s">
        <v>46</v>
      </c>
      <c r="G15" s="880">
        <v>451730</v>
      </c>
      <c r="H15" s="2522" t="s">
        <v>21</v>
      </c>
      <c r="I15" s="876">
        <v>4</v>
      </c>
      <c r="J15" s="2522" t="s">
        <v>21</v>
      </c>
      <c r="K15" s="881">
        <v>12</v>
      </c>
      <c r="L15" s="2350"/>
      <c r="M15" s="2350"/>
      <c r="N15" s="2351"/>
      <c r="O15" s="692" t="s">
        <v>22</v>
      </c>
      <c r="P15" s="693">
        <f>ROUNDUP(G15*I15*K15,-3)</f>
        <v>21684000</v>
      </c>
      <c r="Q15" s="666"/>
      <c r="R15" s="694"/>
      <c r="S15" s="695"/>
      <c r="T15" s="696"/>
      <c r="W15" s="1651"/>
    </row>
    <row r="16" spans="1:24" ht="15" customHeight="1">
      <c r="A16" s="617"/>
      <c r="B16" s="632"/>
      <c r="C16" s="719"/>
      <c r="D16" s="632"/>
      <c r="F16" s="1507" t="s">
        <v>48</v>
      </c>
      <c r="G16" s="686"/>
      <c r="H16" s="679"/>
      <c r="I16" s="679"/>
      <c r="J16" s="679"/>
      <c r="K16" s="679"/>
      <c r="L16" s="679"/>
      <c r="M16" s="679"/>
      <c r="N16" s="679"/>
      <c r="O16" s="687"/>
      <c r="P16" s="681">
        <f>SUM(P17)</f>
        <v>3200000</v>
      </c>
      <c r="Q16" s="653">
        <f>P16</f>
        <v>3200000</v>
      </c>
      <c r="R16" s="653">
        <v>0</v>
      </c>
      <c r="S16" s="654">
        <f t="shared" ref="S16" si="4">Q16-R16</f>
        <v>3200000</v>
      </c>
      <c r="T16" s="688"/>
    </row>
    <row r="17" spans="1:23" ht="15" customHeight="1">
      <c r="A17" s="617"/>
      <c r="B17" s="632"/>
      <c r="C17" s="719"/>
      <c r="D17" s="632"/>
      <c r="F17" s="1511" t="s">
        <v>1331</v>
      </c>
      <c r="G17" s="880">
        <v>400000</v>
      </c>
      <c r="H17" s="2522" t="s">
        <v>21</v>
      </c>
      <c r="I17" s="876">
        <v>4</v>
      </c>
      <c r="J17" s="2522" t="s">
        <v>21</v>
      </c>
      <c r="K17" s="881">
        <v>2</v>
      </c>
      <c r="L17" s="2350"/>
      <c r="M17" s="2350"/>
      <c r="N17" s="2351"/>
      <c r="O17" s="692" t="s">
        <v>22</v>
      </c>
      <c r="P17" s="693">
        <f>G17*I17*K17</f>
        <v>3200000</v>
      </c>
      <c r="Q17" s="666"/>
      <c r="R17" s="694"/>
      <c r="S17" s="695"/>
      <c r="T17" s="696"/>
    </row>
    <row r="18" spans="1:23" ht="15" customHeight="1">
      <c r="A18" s="617"/>
      <c r="B18" s="632"/>
      <c r="C18" s="719"/>
      <c r="D18" s="632"/>
      <c r="F18" s="1507" t="s">
        <v>49</v>
      </c>
      <c r="G18" s="686"/>
      <c r="H18" s="679"/>
      <c r="I18" s="679"/>
      <c r="J18" s="679"/>
      <c r="K18" s="679"/>
      <c r="L18" s="679"/>
      <c r="M18" s="679"/>
      <c r="N18" s="679"/>
      <c r="O18" s="679"/>
      <c r="P18" s="681">
        <f>SUM(P19:P19)</f>
        <v>1607000</v>
      </c>
      <c r="Q18" s="653">
        <f>P18</f>
        <v>1607000</v>
      </c>
      <c r="R18" s="653">
        <v>0</v>
      </c>
      <c r="S18" s="654">
        <f t="shared" ref="S18" si="5">Q18-R18</f>
        <v>1607000</v>
      </c>
      <c r="T18" s="688"/>
    </row>
    <row r="19" spans="1:23" ht="15" customHeight="1">
      <c r="A19" s="617"/>
      <c r="B19" s="632"/>
      <c r="C19" s="719"/>
      <c r="D19" s="632"/>
      <c r="E19" s="3291"/>
      <c r="F19" s="1511" t="s">
        <v>50</v>
      </c>
      <c r="G19" s="880">
        <v>80350</v>
      </c>
      <c r="H19" s="2522" t="s">
        <v>21</v>
      </c>
      <c r="I19" s="876">
        <v>4</v>
      </c>
      <c r="J19" s="2522" t="s">
        <v>21</v>
      </c>
      <c r="K19" s="1163">
        <v>5</v>
      </c>
      <c r="L19" s="2352"/>
      <c r="M19" s="2352"/>
      <c r="N19" s="2353"/>
      <c r="O19" s="692" t="s">
        <v>22</v>
      </c>
      <c r="P19" s="693">
        <f>G19*I19*K19</f>
        <v>1607000</v>
      </c>
      <c r="Q19" s="666"/>
      <c r="R19" s="694"/>
      <c r="S19" s="695"/>
      <c r="T19" s="696"/>
      <c r="W19" s="1651">
        <f>Q8+Q24+Q95+Q100</f>
        <v>184082000</v>
      </c>
    </row>
    <row r="20" spans="1:23" ht="15" customHeight="1">
      <c r="A20" s="617"/>
      <c r="B20" s="632"/>
      <c r="C20" s="719"/>
      <c r="D20" s="632"/>
      <c r="E20" s="3291"/>
      <c r="F20" s="1507" t="s">
        <v>52</v>
      </c>
      <c r="G20" s="686"/>
      <c r="H20" s="679"/>
      <c r="I20" s="679"/>
      <c r="J20" s="679"/>
      <c r="K20" s="679"/>
      <c r="L20" s="679"/>
      <c r="M20" s="679"/>
      <c r="N20" s="679"/>
      <c r="O20" s="679"/>
      <c r="P20" s="681">
        <f>SUM(P21:P22)</f>
        <v>4609000</v>
      </c>
      <c r="Q20" s="653">
        <f>P20</f>
        <v>4609000</v>
      </c>
      <c r="R20" s="653">
        <v>0</v>
      </c>
      <c r="S20" s="654">
        <f t="shared" ref="S20" si="6">Q20-R20</f>
        <v>4609000</v>
      </c>
      <c r="T20" s="688"/>
      <c r="W20" s="1651"/>
    </row>
    <row r="21" spans="1:23" ht="15" customHeight="1">
      <c r="A21" s="617"/>
      <c r="B21" s="632"/>
      <c r="C21" s="719"/>
      <c r="D21" s="632"/>
      <c r="E21" s="3291"/>
      <c r="F21" s="1511" t="s">
        <v>1329</v>
      </c>
      <c r="G21" s="880">
        <v>24789700</v>
      </c>
      <c r="H21" s="2522" t="s">
        <v>21</v>
      </c>
      <c r="I21" s="3767">
        <v>12</v>
      </c>
      <c r="J21" s="3767"/>
      <c r="K21" s="881"/>
      <c r="L21" s="719"/>
      <c r="M21" s="719"/>
      <c r="N21" s="2351"/>
      <c r="O21" s="692" t="s">
        <v>22</v>
      </c>
      <c r="P21" s="693">
        <f>ROUNDUP(G21/12,-3)</f>
        <v>2066000</v>
      </c>
      <c r="Q21" s="666"/>
      <c r="R21" s="694"/>
      <c r="S21" s="695"/>
      <c r="T21" s="696"/>
    </row>
    <row r="22" spans="1:23" ht="15" customHeight="1">
      <c r="A22" s="617"/>
      <c r="B22" s="632"/>
      <c r="C22" s="719"/>
      <c r="D22" s="632"/>
      <c r="E22" s="3358"/>
      <c r="F22" s="1511" t="s">
        <v>1330</v>
      </c>
      <c r="G22" s="880">
        <v>30511650</v>
      </c>
      <c r="H22" s="2522" t="s">
        <v>21</v>
      </c>
      <c r="I22" s="3767">
        <v>12</v>
      </c>
      <c r="J22" s="3767"/>
      <c r="K22" s="881"/>
      <c r="L22" s="2354"/>
      <c r="M22" s="2354"/>
      <c r="N22" s="2351"/>
      <c r="O22" s="692" t="s">
        <v>22</v>
      </c>
      <c r="P22" s="693">
        <f>ROUNDUP(G22/12,-3)</f>
        <v>2543000</v>
      </c>
      <c r="Q22" s="666"/>
      <c r="R22" s="694"/>
      <c r="S22" s="695"/>
      <c r="T22" s="696"/>
      <c r="W22" s="1651"/>
    </row>
    <row r="23" spans="1:23" ht="15" customHeight="1" thickBot="1">
      <c r="A23" s="617"/>
      <c r="B23" s="632"/>
      <c r="C23" s="719"/>
      <c r="D23" s="632"/>
      <c r="E23" s="3637" t="s">
        <v>185</v>
      </c>
      <c r="F23" s="3638"/>
      <c r="G23" s="3638"/>
      <c r="H23" s="3638"/>
      <c r="I23" s="3638"/>
      <c r="J23" s="3638"/>
      <c r="K23" s="3638"/>
      <c r="L23" s="3638"/>
      <c r="M23" s="3638"/>
      <c r="N23" s="3638"/>
      <c r="O23" s="3638"/>
      <c r="P23" s="3639"/>
      <c r="Q23" s="645">
        <v>0</v>
      </c>
      <c r="R23" s="645">
        <v>16539000</v>
      </c>
      <c r="S23" s="646">
        <f>Q23-R23</f>
        <v>-16539000</v>
      </c>
      <c r="T23" s="647">
        <f>S23/R23</f>
        <v>-1</v>
      </c>
    </row>
    <row r="24" spans="1:23" ht="15" customHeight="1" thickBot="1">
      <c r="A24" s="617"/>
      <c r="B24" s="632"/>
      <c r="C24" s="719"/>
      <c r="D24" s="635" t="s">
        <v>186</v>
      </c>
      <c r="E24" s="2229"/>
      <c r="F24" s="1269"/>
      <c r="G24" s="636"/>
      <c r="H24" s="635"/>
      <c r="I24" s="635"/>
      <c r="J24" s="635"/>
      <c r="K24" s="635"/>
      <c r="L24" s="635"/>
      <c r="M24" s="635"/>
      <c r="N24" s="637"/>
      <c r="O24" s="637"/>
      <c r="P24" s="635"/>
      <c r="Q24" s="638">
        <f>Q25+Q37+Q42+Q51+Q54+Q62+Q65+Q69+Q74+Q77+Q81+Q82+Q85+Q90+Q91+Q92</f>
        <v>86150000</v>
      </c>
      <c r="R24" s="638">
        <f>R25+R37+R42+R51+R54+R62+R65+R69+R74+R77+R81+R82+R85+R90+R91+R92</f>
        <v>88010000</v>
      </c>
      <c r="S24" s="937">
        <f>Q24-R24</f>
        <v>-1860000</v>
      </c>
      <c r="T24" s="616">
        <f>S24/R24</f>
        <v>-2.1133962049767072E-2</v>
      </c>
    </row>
    <row r="25" spans="1:23" ht="15" customHeight="1">
      <c r="A25" s="617"/>
      <c r="B25" s="632"/>
      <c r="C25" s="719"/>
      <c r="D25" s="632"/>
      <c r="E25" s="3637" t="s">
        <v>55</v>
      </c>
      <c r="F25" s="3638"/>
      <c r="G25" s="3638"/>
      <c r="H25" s="3638"/>
      <c r="I25" s="3638"/>
      <c r="J25" s="3638"/>
      <c r="K25" s="3638"/>
      <c r="L25" s="3638"/>
      <c r="M25" s="3638"/>
      <c r="N25" s="3638"/>
      <c r="O25" s="3638"/>
      <c r="P25" s="3639"/>
      <c r="Q25" s="645">
        <f>P26+P35+P32</f>
        <v>27422000</v>
      </c>
      <c r="R25" s="645">
        <v>28058000</v>
      </c>
      <c r="S25" s="646">
        <f>Q25-R25</f>
        <v>-636000</v>
      </c>
      <c r="T25" s="647">
        <f>S25/R25</f>
        <v>-2.2667331955235584E-2</v>
      </c>
      <c r="W25" s="1651"/>
    </row>
    <row r="26" spans="1:23" ht="15" customHeight="1">
      <c r="A26" s="617"/>
      <c r="B26" s="632"/>
      <c r="C26" s="719"/>
      <c r="D26" s="632"/>
      <c r="F26" s="1507" t="s">
        <v>56</v>
      </c>
      <c r="G26" s="686"/>
      <c r="H26" s="679"/>
      <c r="I26" s="679"/>
      <c r="J26" s="2355"/>
      <c r="K26" s="2355"/>
      <c r="L26" s="679"/>
      <c r="M26" s="2355"/>
      <c r="N26" s="2356"/>
      <c r="O26" s="2356"/>
      <c r="P26" s="2357">
        <f>SUM(P27:P31)</f>
        <v>12750000</v>
      </c>
      <c r="Q26" s="653">
        <f>P26</f>
        <v>12750000</v>
      </c>
      <c r="R26" s="2358">
        <v>26138000</v>
      </c>
      <c r="S26" s="654">
        <f t="shared" ref="S26" si="7">Q26-R26</f>
        <v>-13388000</v>
      </c>
      <c r="T26" s="2359">
        <f>S26/R26</f>
        <v>-0.51220445328640296</v>
      </c>
    </row>
    <row r="27" spans="1:23" ht="15" customHeight="1">
      <c r="A27" s="617"/>
      <c r="B27" s="632"/>
      <c r="C27" s="719"/>
      <c r="D27" s="632"/>
      <c r="E27" s="3358"/>
      <c r="F27" s="1511" t="s">
        <v>57</v>
      </c>
      <c r="G27" s="880">
        <v>128000000</v>
      </c>
      <c r="H27" s="2522" t="s">
        <v>21</v>
      </c>
      <c r="I27" s="3766">
        <v>4.4999999999999998E-2</v>
      </c>
      <c r="J27" s="3766"/>
      <c r="K27" s="881"/>
      <c r="L27" s="881"/>
      <c r="M27" s="2350"/>
      <c r="N27" s="2351"/>
      <c r="O27" s="2351" t="s">
        <v>291</v>
      </c>
      <c r="P27" s="2360">
        <f>ROUNDUP(G27*I27,-3)</f>
        <v>5760000</v>
      </c>
      <c r="Q27" s="666"/>
      <c r="R27" s="666"/>
      <c r="S27" s="695"/>
      <c r="T27" s="696"/>
    </row>
    <row r="28" spans="1:23" ht="15" customHeight="1">
      <c r="A28" s="617"/>
      <c r="B28" s="632"/>
      <c r="C28" s="719"/>
      <c r="D28" s="632"/>
      <c r="E28" s="3291"/>
      <c r="F28" s="1509" t="s">
        <v>58</v>
      </c>
      <c r="G28" s="880">
        <v>128000000</v>
      </c>
      <c r="H28" s="2522" t="s">
        <v>21</v>
      </c>
      <c r="I28" s="3766">
        <v>3.1199999999999999E-2</v>
      </c>
      <c r="J28" s="3766"/>
      <c r="K28" s="881"/>
      <c r="L28" s="881"/>
      <c r="M28" s="2350"/>
      <c r="N28" s="2351"/>
      <c r="O28" s="2351" t="s">
        <v>291</v>
      </c>
      <c r="P28" s="2360">
        <f>ROUNDUP(G28*I28,-3)</f>
        <v>3994000</v>
      </c>
      <c r="Q28" s="666"/>
      <c r="R28" s="666"/>
      <c r="S28" s="695"/>
      <c r="T28" s="696"/>
    </row>
    <row r="29" spans="1:23" ht="15" customHeight="1">
      <c r="A29" s="617"/>
      <c r="B29" s="632"/>
      <c r="C29" s="719"/>
      <c r="D29" s="632"/>
      <c r="E29" s="3291"/>
      <c r="F29" s="1509" t="s">
        <v>59</v>
      </c>
      <c r="G29" s="880">
        <f>P28</f>
        <v>3994000</v>
      </c>
      <c r="H29" s="2522" t="s">
        <v>21</v>
      </c>
      <c r="I29" s="3766">
        <v>7.3800000000000004E-2</v>
      </c>
      <c r="J29" s="3766"/>
      <c r="K29" s="881"/>
      <c r="L29" s="881"/>
      <c r="M29" s="2350"/>
      <c r="N29" s="2351"/>
      <c r="O29" s="2351" t="s">
        <v>124</v>
      </c>
      <c r="P29" s="2360">
        <f>ROUNDUP(G29*I29,-3)</f>
        <v>295000</v>
      </c>
      <c r="Q29" s="666"/>
      <c r="R29" s="666"/>
      <c r="S29" s="695"/>
      <c r="T29" s="696"/>
    </row>
    <row r="30" spans="1:23" ht="15" customHeight="1">
      <c r="A30" s="617"/>
      <c r="B30" s="632"/>
      <c r="C30" s="719"/>
      <c r="D30" s="632"/>
      <c r="E30" s="3291"/>
      <c r="F30" s="1509" t="s">
        <v>60</v>
      </c>
      <c r="G30" s="880">
        <v>128000000</v>
      </c>
      <c r="H30" s="2522" t="s">
        <v>21</v>
      </c>
      <c r="I30" s="3766">
        <v>8.9999999999999993E-3</v>
      </c>
      <c r="J30" s="3766"/>
      <c r="K30" s="881"/>
      <c r="L30" s="881"/>
      <c r="M30" s="2350"/>
      <c r="N30" s="2351"/>
      <c r="O30" s="2351" t="s">
        <v>122</v>
      </c>
      <c r="P30" s="2360">
        <f>ROUNDUP(G30*I30,-3)</f>
        <v>1152000</v>
      </c>
      <c r="Q30" s="666"/>
      <c r="R30" s="666"/>
      <c r="S30" s="695"/>
      <c r="T30" s="696"/>
    </row>
    <row r="31" spans="1:23" ht="15" customHeight="1">
      <c r="A31" s="617"/>
      <c r="B31" s="632"/>
      <c r="C31" s="719"/>
      <c r="D31" s="632"/>
      <c r="E31" s="3291"/>
      <c r="F31" s="1509" t="s">
        <v>61</v>
      </c>
      <c r="G31" s="880">
        <v>128000000</v>
      </c>
      <c r="H31" s="2522" t="s">
        <v>21</v>
      </c>
      <c r="I31" s="3766">
        <v>1.21E-2</v>
      </c>
      <c r="J31" s="3766"/>
      <c r="K31" s="881"/>
      <c r="L31" s="881"/>
      <c r="M31" s="2350"/>
      <c r="N31" s="2351"/>
      <c r="O31" s="2351" t="s">
        <v>129</v>
      </c>
      <c r="P31" s="2360">
        <f>ROUNDUP(G31*I31,-3)</f>
        <v>1549000</v>
      </c>
      <c r="Q31" s="666"/>
      <c r="R31" s="666"/>
      <c r="S31" s="695"/>
      <c r="T31" s="696"/>
    </row>
    <row r="32" spans="1:23" ht="15" customHeight="1">
      <c r="A32" s="617"/>
      <c r="B32" s="632"/>
      <c r="C32" s="719"/>
      <c r="D32" s="632"/>
      <c r="E32" s="1143"/>
      <c r="F32" s="1507" t="s">
        <v>750</v>
      </c>
      <c r="G32" s="686"/>
      <c r="H32" s="679"/>
      <c r="I32" s="679"/>
      <c r="J32" s="679"/>
      <c r="K32" s="679"/>
      <c r="L32" s="1508"/>
      <c r="M32" s="679"/>
      <c r="N32" s="687"/>
      <c r="O32" s="687"/>
      <c r="P32" s="681">
        <f>SUM(P33:P34)</f>
        <v>11600000</v>
      </c>
      <c r="Q32" s="653">
        <f>P32</f>
        <v>11600000</v>
      </c>
      <c r="R32" s="653">
        <v>0</v>
      </c>
      <c r="S32" s="654">
        <f>Q32-R32</f>
        <v>11600000</v>
      </c>
      <c r="T32" s="655"/>
    </row>
    <row r="33" spans="1:20" ht="15" customHeight="1">
      <c r="A33" s="617"/>
      <c r="B33" s="632"/>
      <c r="C33" s="719"/>
      <c r="D33" s="632"/>
      <c r="E33" s="3306"/>
      <c r="F33" s="1511" t="s">
        <v>751</v>
      </c>
      <c r="G33" s="1568">
        <v>400000</v>
      </c>
      <c r="H33" s="1168" t="s">
        <v>21</v>
      </c>
      <c r="I33" s="2361">
        <v>7</v>
      </c>
      <c r="J33" s="1168"/>
      <c r="K33" s="1571"/>
      <c r="L33" s="1570"/>
      <c r="M33" s="1571"/>
      <c r="N33" s="692"/>
      <c r="O33" s="692" t="s">
        <v>22</v>
      </c>
      <c r="P33" s="693">
        <f>ROUNDUP(G33*I33,-3)</f>
        <v>2800000</v>
      </c>
      <c r="Q33" s="694"/>
      <c r="R33" s="694"/>
      <c r="S33" s="695"/>
      <c r="T33" s="696"/>
    </row>
    <row r="34" spans="1:20" ht="15" customHeight="1">
      <c r="A34" s="617"/>
      <c r="B34" s="632"/>
      <c r="C34" s="719"/>
      <c r="D34" s="632"/>
      <c r="E34" s="3306"/>
      <c r="F34" s="1511" t="s">
        <v>65</v>
      </c>
      <c r="G34" s="880">
        <v>1100000</v>
      </c>
      <c r="H34" s="2522" t="s">
        <v>21</v>
      </c>
      <c r="I34" s="876">
        <v>8</v>
      </c>
      <c r="J34" s="2522"/>
      <c r="K34" s="881"/>
      <c r="L34" s="1510"/>
      <c r="M34" s="881"/>
      <c r="N34" s="701"/>
      <c r="O34" s="701" t="s">
        <v>22</v>
      </c>
      <c r="P34" s="882">
        <f>ROUNDUP(G34*I34,-3)</f>
        <v>8800000</v>
      </c>
      <c r="Q34" s="694"/>
      <c r="R34" s="694"/>
      <c r="S34" s="695"/>
      <c r="T34" s="696"/>
    </row>
    <row r="35" spans="1:20" ht="15" customHeight="1">
      <c r="A35" s="617"/>
      <c r="B35" s="632"/>
      <c r="C35" s="719"/>
      <c r="D35" s="632"/>
      <c r="E35" s="3291"/>
      <c r="F35" s="1507" t="s">
        <v>41</v>
      </c>
      <c r="G35" s="686"/>
      <c r="H35" s="679"/>
      <c r="I35" s="679"/>
      <c r="J35" s="679"/>
      <c r="K35" s="679"/>
      <c r="L35" s="679"/>
      <c r="M35" s="2362"/>
      <c r="N35" s="2356"/>
      <c r="O35" s="2356"/>
      <c r="P35" s="2357">
        <f>SUM(P36)</f>
        <v>3072000</v>
      </c>
      <c r="Q35" s="653">
        <f>P35</f>
        <v>3072000</v>
      </c>
      <c r="R35" s="653">
        <v>1920000</v>
      </c>
      <c r="S35" s="654">
        <f>Q35-R35</f>
        <v>1152000</v>
      </c>
      <c r="T35" s="2363">
        <f>S35/R35</f>
        <v>0.6</v>
      </c>
    </row>
    <row r="36" spans="1:20" ht="15" customHeight="1">
      <c r="A36" s="617"/>
      <c r="B36" s="632"/>
      <c r="C36" s="719"/>
      <c r="D36" s="632"/>
      <c r="E36" s="3351"/>
      <c r="F36" s="2323" t="s">
        <v>1332</v>
      </c>
      <c r="G36" s="893">
        <v>8000</v>
      </c>
      <c r="H36" s="709" t="s">
        <v>21</v>
      </c>
      <c r="I36" s="3032">
        <v>8</v>
      </c>
      <c r="J36" s="709" t="s">
        <v>21</v>
      </c>
      <c r="K36" s="3033">
        <v>4</v>
      </c>
      <c r="L36" s="709" t="s">
        <v>21</v>
      </c>
      <c r="M36" s="895">
        <v>12</v>
      </c>
      <c r="N36" s="940"/>
      <c r="O36" s="940" t="s">
        <v>124</v>
      </c>
      <c r="P36" s="3034">
        <f>G36*I36*K36*M36</f>
        <v>3072000</v>
      </c>
      <c r="Q36" s="712"/>
      <c r="R36" s="712"/>
      <c r="S36" s="713"/>
      <c r="T36" s="714"/>
    </row>
    <row r="37" spans="1:20" ht="15" customHeight="1">
      <c r="A37" s="617"/>
      <c r="B37" s="632"/>
      <c r="C37" s="719"/>
      <c r="D37" s="632"/>
      <c r="E37" s="3637" t="s">
        <v>3088</v>
      </c>
      <c r="F37" s="3638"/>
      <c r="G37" s="3638"/>
      <c r="H37" s="3638"/>
      <c r="I37" s="3638"/>
      <c r="J37" s="3638"/>
      <c r="K37" s="3638"/>
      <c r="L37" s="3638"/>
      <c r="M37" s="3638"/>
      <c r="N37" s="3638"/>
      <c r="O37" s="3638"/>
      <c r="P37" s="3639"/>
      <c r="Q37" s="1049">
        <f>P38</f>
        <v>9080000</v>
      </c>
      <c r="R37" s="1049">
        <v>4000000</v>
      </c>
      <c r="S37" s="1050">
        <f>Q37-R37</f>
        <v>5080000</v>
      </c>
      <c r="T37" s="1051">
        <f>S37/R37</f>
        <v>1.27</v>
      </c>
    </row>
    <row r="38" spans="1:20" ht="15" customHeight="1">
      <c r="A38" s="759"/>
      <c r="B38" s="703"/>
      <c r="C38" s="619"/>
      <c r="D38" s="703"/>
      <c r="E38" s="3509"/>
      <c r="F38" s="1574" t="s">
        <v>66</v>
      </c>
      <c r="G38" s="1575"/>
      <c r="H38" s="1576"/>
      <c r="I38" s="1576"/>
      <c r="J38" s="1576"/>
      <c r="K38" s="1576"/>
      <c r="L38" s="1576"/>
      <c r="M38" s="3510"/>
      <c r="N38" s="3511"/>
      <c r="O38" s="1578"/>
      <c r="P38" s="1579">
        <f>SUM(P39:P41)</f>
        <v>9080000</v>
      </c>
      <c r="Q38" s="683">
        <f>P38</f>
        <v>9080000</v>
      </c>
      <c r="R38" s="3512">
        <v>4000000</v>
      </c>
      <c r="S38" s="1489">
        <f t="shared" ref="S38" si="8">Q38-R38</f>
        <v>5080000</v>
      </c>
      <c r="T38" s="1490">
        <f t="shared" ref="T38" si="9">S38/R38</f>
        <v>1.27</v>
      </c>
    </row>
    <row r="39" spans="1:20" ht="15" customHeight="1">
      <c r="A39" s="617"/>
      <c r="B39" s="632"/>
      <c r="C39" s="719"/>
      <c r="D39" s="632"/>
      <c r="E39" s="3363"/>
      <c r="F39" s="1511" t="s">
        <v>67</v>
      </c>
      <c r="G39" s="1568">
        <v>80000</v>
      </c>
      <c r="H39" s="1168" t="s">
        <v>21</v>
      </c>
      <c r="I39" s="2361">
        <v>8</v>
      </c>
      <c r="J39" s="1168" t="s">
        <v>21</v>
      </c>
      <c r="K39" s="1571">
        <v>12</v>
      </c>
      <c r="L39" s="1571"/>
      <c r="M39" s="2364"/>
      <c r="N39" s="2368"/>
      <c r="O39" s="692" t="s">
        <v>22</v>
      </c>
      <c r="P39" s="693">
        <f>G39*I39*K39</f>
        <v>7680000</v>
      </c>
      <c r="Q39" s="743"/>
      <c r="R39" s="743"/>
      <c r="S39" s="971"/>
      <c r="T39" s="745"/>
    </row>
    <row r="40" spans="1:20" ht="15" customHeight="1">
      <c r="A40" s="617"/>
      <c r="B40" s="632"/>
      <c r="C40" s="719"/>
      <c r="D40" s="632"/>
      <c r="E40" s="3363"/>
      <c r="F40" s="1509" t="s">
        <v>2919</v>
      </c>
      <c r="G40" s="1552">
        <v>40000</v>
      </c>
      <c r="H40" s="1168" t="s">
        <v>21</v>
      </c>
      <c r="I40" s="2361">
        <v>1</v>
      </c>
      <c r="J40" s="1168" t="s">
        <v>21</v>
      </c>
      <c r="K40" s="2369">
        <v>10</v>
      </c>
      <c r="L40" s="1571"/>
      <c r="M40" s="2364"/>
      <c r="N40" s="2368"/>
      <c r="O40" s="692" t="s">
        <v>22</v>
      </c>
      <c r="P40" s="693">
        <f>G40*I40*K40</f>
        <v>400000</v>
      </c>
      <c r="Q40" s="743"/>
      <c r="R40" s="743"/>
      <c r="S40" s="971"/>
      <c r="T40" s="745"/>
    </row>
    <row r="41" spans="1:20" ht="15" customHeight="1">
      <c r="A41" s="617"/>
      <c r="B41" s="632"/>
      <c r="C41" s="719"/>
      <c r="D41" s="632"/>
      <c r="E41" s="3364"/>
      <c r="F41" s="1509" t="s">
        <v>2920</v>
      </c>
      <c r="G41" s="1552">
        <v>1000000</v>
      </c>
      <c r="H41" s="1168" t="s">
        <v>21</v>
      </c>
      <c r="I41" s="1553">
        <v>1</v>
      </c>
      <c r="J41" s="1168"/>
      <c r="K41" s="2369"/>
      <c r="L41" s="1571"/>
      <c r="M41" s="2370"/>
      <c r="N41" s="2368"/>
      <c r="O41" s="692" t="s">
        <v>22</v>
      </c>
      <c r="P41" s="693">
        <f>G41*I41</f>
        <v>1000000</v>
      </c>
      <c r="Q41" s="743"/>
      <c r="R41" s="743"/>
      <c r="S41" s="971"/>
      <c r="T41" s="745"/>
    </row>
    <row r="42" spans="1:20" ht="15" customHeight="1">
      <c r="A42" s="617"/>
      <c r="B42" s="632"/>
      <c r="C42" s="719"/>
      <c r="D42" s="632"/>
      <c r="E42" s="3637" t="s">
        <v>3087</v>
      </c>
      <c r="F42" s="3638"/>
      <c r="G42" s="3638"/>
      <c r="H42" s="3638"/>
      <c r="I42" s="3638"/>
      <c r="J42" s="3638"/>
      <c r="K42" s="3638"/>
      <c r="L42" s="3638"/>
      <c r="M42" s="3638"/>
      <c r="N42" s="3638"/>
      <c r="O42" s="3638"/>
      <c r="P42" s="3639"/>
      <c r="Q42" s="645">
        <f>P43+P45+P49</f>
        <v>3124000</v>
      </c>
      <c r="R42" s="645">
        <v>2704000</v>
      </c>
      <c r="S42" s="646">
        <f>Q42-R42</f>
        <v>420000</v>
      </c>
      <c r="T42" s="647">
        <f>S42/R42</f>
        <v>0.15532544378698224</v>
      </c>
    </row>
    <row r="43" spans="1:20" ht="15" customHeight="1">
      <c r="A43" s="617"/>
      <c r="B43" s="632"/>
      <c r="C43" s="719"/>
      <c r="D43" s="632"/>
      <c r="F43" s="1507" t="s">
        <v>69</v>
      </c>
      <c r="G43" s="686"/>
      <c r="H43" s="679"/>
      <c r="I43" s="679"/>
      <c r="J43" s="679"/>
      <c r="K43" s="2365"/>
      <c r="L43" s="2365"/>
      <c r="M43" s="2365"/>
      <c r="N43" s="2366"/>
      <c r="O43" s="687"/>
      <c r="P43" s="681">
        <f>SUM(P44:P44)</f>
        <v>960000</v>
      </c>
      <c r="Q43" s="653">
        <f>P43</f>
        <v>960000</v>
      </c>
      <c r="R43" s="2367">
        <v>0</v>
      </c>
      <c r="S43" s="654">
        <f t="shared" ref="S43" si="10">Q43-R43</f>
        <v>960000</v>
      </c>
      <c r="T43" s="655"/>
    </row>
    <row r="44" spans="1:20" ht="15" customHeight="1">
      <c r="A44" s="617"/>
      <c r="B44" s="632"/>
      <c r="C44" s="719"/>
      <c r="D44" s="632"/>
      <c r="E44" s="3358"/>
      <c r="F44" s="1511" t="s">
        <v>1334</v>
      </c>
      <c r="G44" s="880">
        <v>80000</v>
      </c>
      <c r="H44" s="2522" t="s">
        <v>21</v>
      </c>
      <c r="I44" s="881">
        <v>12</v>
      </c>
      <c r="J44" s="2522"/>
      <c r="K44" s="1069"/>
      <c r="L44" s="1069"/>
      <c r="M44" s="1069"/>
      <c r="N44" s="1070"/>
      <c r="O44" s="701" t="s">
        <v>22</v>
      </c>
      <c r="P44" s="882">
        <f>G44*I44</f>
        <v>960000</v>
      </c>
      <c r="Q44" s="743"/>
      <c r="R44" s="743"/>
      <c r="S44" s="971"/>
      <c r="T44" s="745"/>
    </row>
    <row r="45" spans="1:20" ht="15" customHeight="1">
      <c r="A45" s="617"/>
      <c r="B45" s="632"/>
      <c r="C45" s="719"/>
      <c r="D45" s="632"/>
      <c r="E45" s="3358"/>
      <c r="F45" s="1507" t="s">
        <v>71</v>
      </c>
      <c r="G45" s="686"/>
      <c r="H45" s="679"/>
      <c r="I45" s="679"/>
      <c r="J45" s="679"/>
      <c r="K45" s="2371"/>
      <c r="L45" s="2371"/>
      <c r="M45" s="2371"/>
      <c r="N45" s="2366"/>
      <c r="O45" s="687"/>
      <c r="P45" s="681">
        <f>SUM(P46:P48)</f>
        <v>1764000</v>
      </c>
      <c r="Q45" s="653">
        <f>P45</f>
        <v>1764000</v>
      </c>
      <c r="R45" s="2367">
        <v>2304000</v>
      </c>
      <c r="S45" s="654">
        <f t="shared" ref="S45" si="11">Q45-R45</f>
        <v>-540000</v>
      </c>
      <c r="T45" s="655">
        <f t="shared" ref="T45" si="12">S45/R45</f>
        <v>-0.234375</v>
      </c>
    </row>
    <row r="46" spans="1:20" ht="15" customHeight="1">
      <c r="A46" s="617"/>
      <c r="B46" s="632"/>
      <c r="C46" s="719"/>
      <c r="D46" s="632"/>
      <c r="E46" s="3358"/>
      <c r="F46" s="1511" t="s">
        <v>1335</v>
      </c>
      <c r="G46" s="880">
        <v>50000</v>
      </c>
      <c r="H46" s="2522" t="s">
        <v>1336</v>
      </c>
      <c r="I46" s="881">
        <v>12</v>
      </c>
      <c r="J46" s="2522"/>
      <c r="K46" s="1069"/>
      <c r="L46" s="1069"/>
      <c r="M46" s="1069"/>
      <c r="N46" s="1070"/>
      <c r="O46" s="701" t="s">
        <v>22</v>
      </c>
      <c r="P46" s="882">
        <f>G46*I46</f>
        <v>600000</v>
      </c>
      <c r="Q46" s="743"/>
      <c r="R46" s="743"/>
      <c r="S46" s="971"/>
      <c r="T46" s="745"/>
    </row>
    <row r="47" spans="1:20" ht="15" customHeight="1">
      <c r="A47" s="617"/>
      <c r="B47" s="632"/>
      <c r="C47" s="719"/>
      <c r="D47" s="632"/>
      <c r="E47" s="3358"/>
      <c r="F47" s="1511" t="s">
        <v>1337</v>
      </c>
      <c r="G47" s="880">
        <v>42000</v>
      </c>
      <c r="H47" s="2522" t="s">
        <v>1333</v>
      </c>
      <c r="I47" s="881">
        <v>12</v>
      </c>
      <c r="J47" s="2522"/>
      <c r="K47" s="1069"/>
      <c r="L47" s="1069"/>
      <c r="M47" s="1069"/>
      <c r="N47" s="1070"/>
      <c r="O47" s="701" t="s">
        <v>22</v>
      </c>
      <c r="P47" s="882">
        <f>G47*I47</f>
        <v>504000</v>
      </c>
      <c r="Q47" s="743"/>
      <c r="R47" s="743"/>
      <c r="S47" s="971"/>
      <c r="T47" s="745"/>
    </row>
    <row r="48" spans="1:20" ht="15" customHeight="1">
      <c r="A48" s="617"/>
      <c r="B48" s="632"/>
      <c r="C48" s="719"/>
      <c r="D48" s="632"/>
      <c r="E48" s="3358"/>
      <c r="F48" s="1511" t="s">
        <v>1338</v>
      </c>
      <c r="G48" s="880">
        <v>55000</v>
      </c>
      <c r="H48" s="2522" t="s">
        <v>1333</v>
      </c>
      <c r="I48" s="881">
        <v>12</v>
      </c>
      <c r="J48" s="2522"/>
      <c r="K48" s="1069"/>
      <c r="L48" s="1069"/>
      <c r="M48" s="1069"/>
      <c r="N48" s="1070"/>
      <c r="O48" s="701" t="s">
        <v>22</v>
      </c>
      <c r="P48" s="882">
        <f>G48*I48</f>
        <v>660000</v>
      </c>
      <c r="Q48" s="743"/>
      <c r="R48" s="743"/>
      <c r="S48" s="971"/>
      <c r="T48" s="745"/>
    </row>
    <row r="49" spans="1:20" ht="15" customHeight="1">
      <c r="A49" s="617"/>
      <c r="B49" s="632"/>
      <c r="C49" s="719"/>
      <c r="D49" s="632"/>
      <c r="E49" s="3358"/>
      <c r="F49" s="1507" t="s">
        <v>734</v>
      </c>
      <c r="G49" s="686"/>
      <c r="H49" s="679"/>
      <c r="I49" s="679"/>
      <c r="J49" s="679"/>
      <c r="K49" s="2371"/>
      <c r="L49" s="2371"/>
      <c r="M49" s="2371"/>
      <c r="N49" s="2366"/>
      <c r="O49" s="687"/>
      <c r="P49" s="681">
        <f>SUM(P50:P50)</f>
        <v>400000</v>
      </c>
      <c r="Q49" s="653">
        <f>P49</f>
        <v>400000</v>
      </c>
      <c r="R49" s="2367">
        <v>400000</v>
      </c>
      <c r="S49" s="654">
        <f t="shared" ref="S49" si="13">Q49-R49</f>
        <v>0</v>
      </c>
      <c r="T49" s="655">
        <f t="shared" ref="T49" si="14">S49/R49</f>
        <v>0</v>
      </c>
    </row>
    <row r="50" spans="1:20" ht="15" customHeight="1">
      <c r="A50" s="617"/>
      <c r="B50" s="632"/>
      <c r="C50" s="719"/>
      <c r="D50" s="632"/>
      <c r="E50" s="3358"/>
      <c r="F50" s="1511" t="s">
        <v>737</v>
      </c>
      <c r="G50" s="880">
        <v>400000</v>
      </c>
      <c r="H50" s="2522" t="s">
        <v>21</v>
      </c>
      <c r="I50" s="877">
        <v>1</v>
      </c>
      <c r="J50" s="2522"/>
      <c r="K50" s="1069"/>
      <c r="L50" s="1069"/>
      <c r="M50" s="1069"/>
      <c r="N50" s="1070"/>
      <c r="O50" s="701" t="s">
        <v>22</v>
      </c>
      <c r="P50" s="882">
        <f>G50*I50</f>
        <v>400000</v>
      </c>
      <c r="Q50" s="743"/>
      <c r="R50" s="743"/>
      <c r="S50" s="971"/>
      <c r="T50" s="745"/>
    </row>
    <row r="51" spans="1:20" ht="15" customHeight="1">
      <c r="A51" s="617"/>
      <c r="B51" s="632"/>
      <c r="C51" s="719"/>
      <c r="D51" s="632"/>
      <c r="E51" s="3637" t="s">
        <v>3069</v>
      </c>
      <c r="F51" s="3638"/>
      <c r="G51" s="3638"/>
      <c r="H51" s="3638"/>
      <c r="I51" s="3638"/>
      <c r="J51" s="3638"/>
      <c r="K51" s="3638"/>
      <c r="L51" s="3638"/>
      <c r="M51" s="3638"/>
      <c r="N51" s="3638"/>
      <c r="O51" s="3638"/>
      <c r="P51" s="3639"/>
      <c r="Q51" s="645">
        <f>P52</f>
        <v>24000000</v>
      </c>
      <c r="R51" s="645">
        <v>24000000</v>
      </c>
      <c r="S51" s="646">
        <f>Q51-R51</f>
        <v>0</v>
      </c>
      <c r="T51" s="647">
        <f>S51/R51</f>
        <v>0</v>
      </c>
    </row>
    <row r="52" spans="1:20" ht="15" customHeight="1">
      <c r="A52" s="617"/>
      <c r="B52" s="632"/>
      <c r="C52" s="719"/>
      <c r="D52" s="632"/>
      <c r="F52" s="1507" t="s">
        <v>75</v>
      </c>
      <c r="G52" s="686"/>
      <c r="H52" s="679"/>
      <c r="I52" s="679"/>
      <c r="J52" s="679"/>
      <c r="K52" s="679"/>
      <c r="L52" s="679"/>
      <c r="M52" s="2372"/>
      <c r="N52" s="2373"/>
      <c r="O52" s="2373"/>
      <c r="P52" s="2374">
        <f>SUM(P53)</f>
        <v>24000000</v>
      </c>
      <c r="Q52" s="653">
        <f>P52</f>
        <v>24000000</v>
      </c>
      <c r="R52" s="2367">
        <v>24000000</v>
      </c>
      <c r="S52" s="654">
        <f t="shared" ref="S52" si="15">Q52-R52</f>
        <v>0</v>
      </c>
      <c r="T52" s="655">
        <f t="shared" ref="T52" si="16">S52/R52</f>
        <v>0</v>
      </c>
    </row>
    <row r="53" spans="1:20" ht="15" customHeight="1">
      <c r="A53" s="617"/>
      <c r="B53" s="632"/>
      <c r="C53" s="719"/>
      <c r="D53" s="632"/>
      <c r="E53" s="3365"/>
      <c r="F53" s="1511" t="s">
        <v>1339</v>
      </c>
      <c r="G53" s="880">
        <v>2000000</v>
      </c>
      <c r="H53" s="2522" t="s">
        <v>21</v>
      </c>
      <c r="I53" s="881">
        <v>12</v>
      </c>
      <c r="J53" s="2522"/>
      <c r="K53" s="2375"/>
      <c r="L53" s="881"/>
      <c r="M53" s="2376"/>
      <c r="N53" s="2377"/>
      <c r="O53" s="2377" t="s">
        <v>22</v>
      </c>
      <c r="P53" s="2378">
        <f>G53*I53</f>
        <v>24000000</v>
      </c>
      <c r="Q53" s="623"/>
      <c r="R53" s="623"/>
      <c r="S53" s="624"/>
      <c r="T53" s="625"/>
    </row>
    <row r="54" spans="1:20" ht="15" customHeight="1">
      <c r="A54" s="617"/>
      <c r="B54" s="632"/>
      <c r="C54" s="719"/>
      <c r="D54" s="632"/>
      <c r="E54" s="3637" t="s">
        <v>76</v>
      </c>
      <c r="F54" s="3638"/>
      <c r="G54" s="3638"/>
      <c r="H54" s="3638"/>
      <c r="I54" s="3638"/>
      <c r="J54" s="3638"/>
      <c r="K54" s="3638"/>
      <c r="L54" s="3638"/>
      <c r="M54" s="3638"/>
      <c r="N54" s="3638"/>
      <c r="O54" s="3638"/>
      <c r="P54" s="3639"/>
      <c r="Q54" s="645">
        <f>P55+P57+P60</f>
        <v>3080000</v>
      </c>
      <c r="R54" s="645">
        <v>2400000</v>
      </c>
      <c r="S54" s="646">
        <f>Q54-R54</f>
        <v>680000</v>
      </c>
      <c r="T54" s="647">
        <f>S54/R54</f>
        <v>0.28333333333333333</v>
      </c>
    </row>
    <row r="55" spans="1:20" ht="15" customHeight="1">
      <c r="A55" s="617"/>
      <c r="B55" s="632"/>
      <c r="C55" s="719"/>
      <c r="D55" s="632"/>
      <c r="F55" s="1507" t="s">
        <v>77</v>
      </c>
      <c r="G55" s="686"/>
      <c r="H55" s="679"/>
      <c r="I55" s="679"/>
      <c r="J55" s="679"/>
      <c r="K55" s="679"/>
      <c r="L55" s="679"/>
      <c r="M55" s="687"/>
      <c r="N55" s="2373"/>
      <c r="O55" s="2373"/>
      <c r="P55" s="2374">
        <f>SUM(P56)</f>
        <v>600000</v>
      </c>
      <c r="Q55" s="653">
        <f>P55</f>
        <v>600000</v>
      </c>
      <c r="R55" s="2367">
        <v>600000</v>
      </c>
      <c r="S55" s="654">
        <f t="shared" ref="S55" si="17">Q55-R55</f>
        <v>0</v>
      </c>
      <c r="T55" s="655">
        <f t="shared" ref="T55" si="18">S55/R55</f>
        <v>0</v>
      </c>
    </row>
    <row r="56" spans="1:20" ht="15" customHeight="1">
      <c r="A56" s="617"/>
      <c r="B56" s="632"/>
      <c r="C56" s="719"/>
      <c r="D56" s="632"/>
      <c r="E56" s="3358"/>
      <c r="F56" s="1511" t="s">
        <v>465</v>
      </c>
      <c r="G56" s="880">
        <v>50000</v>
      </c>
      <c r="H56" s="2522" t="s">
        <v>21</v>
      </c>
      <c r="I56" s="881">
        <v>12</v>
      </c>
      <c r="J56" s="2522"/>
      <c r="K56" s="881"/>
      <c r="L56" s="881"/>
      <c r="M56" s="701"/>
      <c r="N56" s="2379"/>
      <c r="O56" s="2379" t="s">
        <v>22</v>
      </c>
      <c r="P56" s="2380">
        <f>G56*I56</f>
        <v>600000</v>
      </c>
      <c r="Q56" s="743"/>
      <c r="R56" s="743"/>
      <c r="S56" s="971"/>
      <c r="T56" s="745"/>
    </row>
    <row r="57" spans="1:20" ht="15" customHeight="1">
      <c r="A57" s="617"/>
      <c r="B57" s="632"/>
      <c r="C57" s="719"/>
      <c r="D57" s="632"/>
      <c r="F57" s="1507" t="s">
        <v>80</v>
      </c>
      <c r="G57" s="686"/>
      <c r="H57" s="679"/>
      <c r="I57" s="679"/>
      <c r="J57" s="679"/>
      <c r="K57" s="679"/>
      <c r="L57" s="679"/>
      <c r="M57" s="687"/>
      <c r="N57" s="2373"/>
      <c r="O57" s="2373"/>
      <c r="P57" s="2374">
        <f>SUM(P58:P59)</f>
        <v>1640000</v>
      </c>
      <c r="Q57" s="653">
        <f>P57</f>
        <v>1640000</v>
      </c>
      <c r="R57" s="2367">
        <v>1200000</v>
      </c>
      <c r="S57" s="654">
        <f t="shared" ref="S57" si="19">Q57-R57</f>
        <v>440000</v>
      </c>
      <c r="T57" s="655">
        <f t="shared" ref="T57" si="20">S57/R57</f>
        <v>0.36666666666666664</v>
      </c>
    </row>
    <row r="58" spans="1:20" ht="15" customHeight="1">
      <c r="A58" s="617"/>
      <c r="B58" s="632"/>
      <c r="C58" s="719"/>
      <c r="D58" s="632"/>
      <c r="E58" s="3291"/>
      <c r="F58" s="1509" t="s">
        <v>1340</v>
      </c>
      <c r="G58" s="702">
        <v>130000</v>
      </c>
      <c r="H58" s="2522" t="s">
        <v>21</v>
      </c>
      <c r="I58" s="2243">
        <v>8</v>
      </c>
      <c r="J58" s="2522"/>
      <c r="K58" s="2522"/>
      <c r="L58" s="2522"/>
      <c r="M58" s="701"/>
      <c r="N58" s="2379"/>
      <c r="O58" s="2379" t="s">
        <v>22</v>
      </c>
      <c r="P58" s="2380">
        <f>G58*I58</f>
        <v>1040000</v>
      </c>
      <c r="Q58" s="743"/>
      <c r="R58" s="743"/>
      <c r="S58" s="971"/>
      <c r="T58" s="745"/>
    </row>
    <row r="59" spans="1:20" ht="15" customHeight="1">
      <c r="A59" s="617"/>
      <c r="B59" s="632"/>
      <c r="C59" s="719"/>
      <c r="D59" s="632"/>
      <c r="E59" s="3291"/>
      <c r="F59" s="1509" t="s">
        <v>1341</v>
      </c>
      <c r="G59" s="880">
        <v>50000</v>
      </c>
      <c r="H59" s="2522" t="s">
        <v>21</v>
      </c>
      <c r="I59" s="881">
        <v>12</v>
      </c>
      <c r="J59" s="2522"/>
      <c r="K59" s="881"/>
      <c r="L59" s="881"/>
      <c r="M59" s="701"/>
      <c r="N59" s="2379"/>
      <c r="O59" s="2379" t="s">
        <v>22</v>
      </c>
      <c r="P59" s="2380">
        <f>G59*I59</f>
        <v>600000</v>
      </c>
      <c r="Q59" s="743"/>
      <c r="R59" s="743"/>
      <c r="S59" s="971"/>
      <c r="T59" s="745"/>
    </row>
    <row r="60" spans="1:20" ht="15" customHeight="1">
      <c r="A60" s="617"/>
      <c r="B60" s="632"/>
      <c r="C60" s="719"/>
      <c r="D60" s="632"/>
      <c r="F60" s="1507" t="s">
        <v>1342</v>
      </c>
      <c r="G60" s="686"/>
      <c r="H60" s="679"/>
      <c r="I60" s="679"/>
      <c r="J60" s="679"/>
      <c r="K60" s="679"/>
      <c r="L60" s="679"/>
      <c r="M60" s="687"/>
      <c r="N60" s="2373"/>
      <c r="O60" s="2373"/>
      <c r="P60" s="2374">
        <f>SUM(P61)</f>
        <v>840000</v>
      </c>
      <c r="Q60" s="653">
        <f>P60</f>
        <v>840000</v>
      </c>
      <c r="R60" s="2367">
        <v>600000</v>
      </c>
      <c r="S60" s="654">
        <f t="shared" ref="S60" si="21">Q60-R60</f>
        <v>240000</v>
      </c>
      <c r="T60" s="655">
        <f t="shared" ref="T60" si="22">S60/R60</f>
        <v>0.4</v>
      </c>
    </row>
    <row r="61" spans="1:20" ht="15" customHeight="1">
      <c r="A61" s="617"/>
      <c r="B61" s="632"/>
      <c r="C61" s="719"/>
      <c r="D61" s="632"/>
      <c r="E61" s="3358"/>
      <c r="F61" s="1531" t="s">
        <v>2959</v>
      </c>
      <c r="G61" s="1534">
        <v>70000</v>
      </c>
      <c r="H61" s="1136" t="s">
        <v>21</v>
      </c>
      <c r="I61" s="1536">
        <v>12</v>
      </c>
      <c r="J61" s="1136"/>
      <c r="K61" s="1536"/>
      <c r="L61" s="1536"/>
      <c r="M61" s="1537"/>
      <c r="N61" s="2379"/>
      <c r="O61" s="2379" t="s">
        <v>22</v>
      </c>
      <c r="P61" s="2380">
        <f>G61*I61</f>
        <v>840000</v>
      </c>
      <c r="Q61" s="743"/>
      <c r="R61" s="743"/>
      <c r="S61" s="971"/>
      <c r="T61" s="745"/>
    </row>
    <row r="62" spans="1:20" ht="15" customHeight="1">
      <c r="A62" s="617"/>
      <c r="B62" s="632"/>
      <c r="C62" s="719"/>
      <c r="D62" s="632"/>
      <c r="E62" s="3637" t="s">
        <v>3086</v>
      </c>
      <c r="F62" s="3638"/>
      <c r="G62" s="3638"/>
      <c r="H62" s="3638"/>
      <c r="I62" s="3638"/>
      <c r="J62" s="3638"/>
      <c r="K62" s="3638"/>
      <c r="L62" s="3638"/>
      <c r="M62" s="3638"/>
      <c r="N62" s="3638"/>
      <c r="O62" s="3638"/>
      <c r="P62" s="3639"/>
      <c r="Q62" s="645">
        <f>P63</f>
        <v>160000</v>
      </c>
      <c r="R62" s="645">
        <v>640000</v>
      </c>
      <c r="S62" s="646">
        <f>Q62-R62</f>
        <v>-480000</v>
      </c>
      <c r="T62" s="647">
        <f>S62/R62</f>
        <v>-0.75</v>
      </c>
    </row>
    <row r="63" spans="1:20" ht="15" customHeight="1">
      <c r="A63" s="617"/>
      <c r="B63" s="632"/>
      <c r="C63" s="719"/>
      <c r="D63" s="632"/>
      <c r="E63" s="1143"/>
      <c r="F63" s="1507" t="s">
        <v>85</v>
      </c>
      <c r="G63" s="686"/>
      <c r="H63" s="679"/>
      <c r="I63" s="679"/>
      <c r="J63" s="679"/>
      <c r="K63" s="679"/>
      <c r="L63" s="1508"/>
      <c r="M63" s="1508"/>
      <c r="N63" s="1508"/>
      <c r="O63" s="1508"/>
      <c r="P63" s="681">
        <f>SUM(P64:P64)</f>
        <v>160000</v>
      </c>
      <c r="Q63" s="653">
        <f>P63</f>
        <v>160000</v>
      </c>
      <c r="R63" s="653">
        <v>640000</v>
      </c>
      <c r="S63" s="654">
        <f t="shared" ref="S63" si="23">Q63-R63</f>
        <v>-480000</v>
      </c>
      <c r="T63" s="655">
        <f t="shared" ref="T63" si="24">S63/R63</f>
        <v>-0.75</v>
      </c>
    </row>
    <row r="64" spans="1:20" ht="15" customHeight="1">
      <c r="A64" s="617"/>
      <c r="B64" s="632"/>
      <c r="C64" s="719"/>
      <c r="D64" s="632"/>
      <c r="E64" s="3306"/>
      <c r="F64" s="1511" t="s">
        <v>1343</v>
      </c>
      <c r="G64" s="880">
        <v>80000</v>
      </c>
      <c r="H64" s="2522" t="s">
        <v>21</v>
      </c>
      <c r="I64" s="876">
        <v>2</v>
      </c>
      <c r="J64" s="2522"/>
      <c r="K64" s="881"/>
      <c r="L64" s="881"/>
      <c r="M64" s="881"/>
      <c r="N64" s="881"/>
      <c r="O64" s="2379" t="s">
        <v>22</v>
      </c>
      <c r="P64" s="882">
        <f>G64*I64</f>
        <v>160000</v>
      </c>
      <c r="Q64" s="694"/>
      <c r="R64" s="694"/>
      <c r="S64" s="695"/>
      <c r="T64" s="696"/>
    </row>
    <row r="65" spans="1:20" ht="15" customHeight="1">
      <c r="A65" s="617"/>
      <c r="B65" s="632"/>
      <c r="C65" s="719"/>
      <c r="D65" s="632"/>
      <c r="E65" s="3637" t="s">
        <v>3034</v>
      </c>
      <c r="F65" s="3638"/>
      <c r="G65" s="3638"/>
      <c r="H65" s="3638"/>
      <c r="I65" s="3638"/>
      <c r="J65" s="3638"/>
      <c r="K65" s="3638"/>
      <c r="L65" s="3638"/>
      <c r="M65" s="3638"/>
      <c r="N65" s="3638"/>
      <c r="O65" s="3638"/>
      <c r="P65" s="3639"/>
      <c r="Q65" s="645">
        <f>P66</f>
        <v>2100000</v>
      </c>
      <c r="R65" s="645">
        <v>1600000</v>
      </c>
      <c r="S65" s="646">
        <f>Q65-R65</f>
        <v>500000</v>
      </c>
      <c r="T65" s="647">
        <f>S65/R65</f>
        <v>0.3125</v>
      </c>
    </row>
    <row r="66" spans="1:20" ht="15" customHeight="1">
      <c r="A66" s="617"/>
      <c r="B66" s="632"/>
      <c r="C66" s="719"/>
      <c r="D66" s="632"/>
      <c r="F66" s="1507" t="s">
        <v>88</v>
      </c>
      <c r="G66" s="686"/>
      <c r="H66" s="679"/>
      <c r="I66" s="679"/>
      <c r="J66" s="679"/>
      <c r="K66" s="679"/>
      <c r="L66" s="679"/>
      <c r="M66" s="687"/>
      <c r="N66" s="687"/>
      <c r="O66" s="687"/>
      <c r="P66" s="681">
        <f>SUM(P67:P68)</f>
        <v>2100000</v>
      </c>
      <c r="Q66" s="653">
        <f>P66</f>
        <v>2100000</v>
      </c>
      <c r="R66" s="653">
        <v>1600000</v>
      </c>
      <c r="S66" s="654">
        <f t="shared" ref="S66" si="25">Q66-R66</f>
        <v>500000</v>
      </c>
      <c r="T66" s="655">
        <f t="shared" ref="T66" si="26">S66/R66</f>
        <v>0.3125</v>
      </c>
    </row>
    <row r="67" spans="1:20" ht="15" customHeight="1">
      <c r="A67" s="617"/>
      <c r="B67" s="632"/>
      <c r="C67" s="719"/>
      <c r="D67" s="632"/>
      <c r="E67" s="3358"/>
      <c r="F67" s="1511" t="s">
        <v>753</v>
      </c>
      <c r="G67" s="880">
        <v>300000</v>
      </c>
      <c r="H67" s="2522" t="s">
        <v>21</v>
      </c>
      <c r="I67" s="878">
        <v>2</v>
      </c>
      <c r="J67" s="2522"/>
      <c r="K67" s="881"/>
      <c r="L67" s="881"/>
      <c r="M67" s="701"/>
      <c r="N67" s="2381"/>
      <c r="O67" s="701" t="s">
        <v>22</v>
      </c>
      <c r="P67" s="882">
        <f>G67*I67</f>
        <v>600000</v>
      </c>
      <c r="Q67" s="694"/>
      <c r="R67" s="694"/>
      <c r="S67" s="695"/>
      <c r="T67" s="696"/>
    </row>
    <row r="68" spans="1:20" ht="15" customHeight="1">
      <c r="A68" s="617"/>
      <c r="B68" s="632"/>
      <c r="C68" s="719"/>
      <c r="D68" s="632"/>
      <c r="E68" s="3358"/>
      <c r="F68" s="1511" t="s">
        <v>1344</v>
      </c>
      <c r="G68" s="1568">
        <v>1500000</v>
      </c>
      <c r="H68" s="1168" t="s">
        <v>21</v>
      </c>
      <c r="I68" s="1553">
        <v>1</v>
      </c>
      <c r="J68" s="1168"/>
      <c r="K68" s="1571"/>
      <c r="L68" s="1571"/>
      <c r="M68" s="692"/>
      <c r="N68" s="2379"/>
      <c r="O68" s="692" t="s">
        <v>22</v>
      </c>
      <c r="P68" s="882">
        <f>G68*I68</f>
        <v>1500000</v>
      </c>
      <c r="Q68" s="694"/>
      <c r="R68" s="694"/>
      <c r="S68" s="695"/>
      <c r="T68" s="696"/>
    </row>
    <row r="69" spans="1:20" ht="15" customHeight="1">
      <c r="A69" s="617"/>
      <c r="B69" s="632"/>
      <c r="C69" s="719"/>
      <c r="D69" s="632"/>
      <c r="E69" s="3637" t="s">
        <v>3005</v>
      </c>
      <c r="F69" s="3638"/>
      <c r="G69" s="3638"/>
      <c r="H69" s="3638"/>
      <c r="I69" s="3638"/>
      <c r="J69" s="3638"/>
      <c r="K69" s="3638"/>
      <c r="L69" s="3638"/>
      <c r="M69" s="3638"/>
      <c r="N69" s="3638"/>
      <c r="O69" s="3638"/>
      <c r="P69" s="3639"/>
      <c r="Q69" s="645">
        <f>P70</f>
        <v>2844000</v>
      </c>
      <c r="R69" s="645">
        <v>2796000</v>
      </c>
      <c r="S69" s="646">
        <f>Q69-R69</f>
        <v>48000</v>
      </c>
      <c r="T69" s="647">
        <f>S69/R69</f>
        <v>1.7167381974248927E-2</v>
      </c>
    </row>
    <row r="70" spans="1:20" ht="15" customHeight="1">
      <c r="A70" s="617"/>
      <c r="B70" s="632"/>
      <c r="C70" s="719"/>
      <c r="D70" s="632"/>
      <c r="F70" s="1507" t="s">
        <v>93</v>
      </c>
      <c r="G70" s="686"/>
      <c r="H70" s="679"/>
      <c r="I70" s="679"/>
      <c r="J70" s="679"/>
      <c r="K70" s="679"/>
      <c r="L70" s="679"/>
      <c r="M70" s="687"/>
      <c r="N70" s="687"/>
      <c r="O70" s="687"/>
      <c r="P70" s="681">
        <f>SUM(P71:P73)</f>
        <v>2844000</v>
      </c>
      <c r="Q70" s="653">
        <f>P70</f>
        <v>2844000</v>
      </c>
      <c r="R70" s="653">
        <v>2796000</v>
      </c>
      <c r="S70" s="654">
        <f t="shared" ref="S70" si="27">Q70-R70</f>
        <v>48000</v>
      </c>
      <c r="T70" s="655">
        <f t="shared" ref="T70" si="28">S70/R70</f>
        <v>1.7167381974248927E-2</v>
      </c>
    </row>
    <row r="71" spans="1:20" ht="15" customHeight="1">
      <c r="A71" s="617"/>
      <c r="B71" s="632"/>
      <c r="C71" s="719"/>
      <c r="D71" s="632"/>
      <c r="F71" s="1511" t="s">
        <v>467</v>
      </c>
      <c r="G71" s="880">
        <v>170000</v>
      </c>
      <c r="H71" s="2522" t="s">
        <v>21</v>
      </c>
      <c r="I71" s="2243">
        <v>1</v>
      </c>
      <c r="J71" s="2522" t="s">
        <v>21</v>
      </c>
      <c r="K71" s="881">
        <v>12</v>
      </c>
      <c r="L71" s="881"/>
      <c r="M71" s="701"/>
      <c r="N71" s="701"/>
      <c r="O71" s="701" t="s">
        <v>22</v>
      </c>
      <c r="P71" s="882">
        <f>G71*I71*K71</f>
        <v>2040000</v>
      </c>
      <c r="Q71" s="694"/>
      <c r="R71" s="694"/>
      <c r="S71" s="695"/>
      <c r="T71" s="696"/>
    </row>
    <row r="72" spans="1:20" ht="15" customHeight="1">
      <c r="A72" s="759"/>
      <c r="B72" s="703"/>
      <c r="C72" s="619"/>
      <c r="D72" s="703"/>
      <c r="E72" s="3365"/>
      <c r="F72" s="2323" t="s">
        <v>1345</v>
      </c>
      <c r="G72" s="711">
        <v>41000</v>
      </c>
      <c r="H72" s="709" t="s">
        <v>21</v>
      </c>
      <c r="I72" s="3035">
        <v>1</v>
      </c>
      <c r="J72" s="709" t="s">
        <v>21</v>
      </c>
      <c r="K72" s="895">
        <v>12</v>
      </c>
      <c r="L72" s="895"/>
      <c r="M72" s="710"/>
      <c r="N72" s="710"/>
      <c r="O72" s="710" t="s">
        <v>22</v>
      </c>
      <c r="P72" s="896">
        <f>G72*I72*K72</f>
        <v>492000</v>
      </c>
      <c r="Q72" s="712"/>
      <c r="R72" s="712"/>
      <c r="S72" s="713"/>
      <c r="T72" s="714"/>
    </row>
    <row r="73" spans="1:20" ht="15" customHeight="1">
      <c r="A73" s="617"/>
      <c r="B73" s="632"/>
      <c r="C73" s="719"/>
      <c r="D73" s="632"/>
      <c r="E73" s="3291"/>
      <c r="F73" s="1509" t="s">
        <v>1135</v>
      </c>
      <c r="G73" s="702">
        <v>26000</v>
      </c>
      <c r="H73" s="2522" t="s">
        <v>21</v>
      </c>
      <c r="I73" s="2243">
        <v>1</v>
      </c>
      <c r="J73" s="2522" t="s">
        <v>21</v>
      </c>
      <c r="K73" s="881">
        <v>12</v>
      </c>
      <c r="L73" s="881"/>
      <c r="M73" s="701"/>
      <c r="N73" s="701"/>
      <c r="O73" s="701" t="s">
        <v>22</v>
      </c>
      <c r="P73" s="882">
        <f>G73*I73*K73</f>
        <v>312000</v>
      </c>
      <c r="Q73" s="694"/>
      <c r="R73" s="694"/>
      <c r="S73" s="695"/>
      <c r="T73" s="696"/>
    </row>
    <row r="74" spans="1:20" ht="15" customHeight="1">
      <c r="A74" s="617"/>
      <c r="B74" s="632"/>
      <c r="C74" s="719"/>
      <c r="D74" s="632"/>
      <c r="E74" s="3637" t="s">
        <v>3085</v>
      </c>
      <c r="F74" s="3638"/>
      <c r="G74" s="3638"/>
      <c r="H74" s="3638"/>
      <c r="I74" s="3638"/>
      <c r="J74" s="3638"/>
      <c r="K74" s="3638"/>
      <c r="L74" s="3638"/>
      <c r="M74" s="3638"/>
      <c r="N74" s="3638"/>
      <c r="O74" s="3638"/>
      <c r="P74" s="3639"/>
      <c r="Q74" s="645">
        <f>P75</f>
        <v>9200000</v>
      </c>
      <c r="R74" s="645">
        <v>14510000</v>
      </c>
      <c r="S74" s="646">
        <f>Q74-R74</f>
        <v>-5310000</v>
      </c>
      <c r="T74" s="647">
        <f>S74/R74</f>
        <v>-0.36595451412818747</v>
      </c>
    </row>
    <row r="75" spans="1:20" ht="15" customHeight="1">
      <c r="A75" s="617"/>
      <c r="B75" s="632"/>
      <c r="C75" s="719"/>
      <c r="D75" s="632"/>
      <c r="F75" s="1507" t="s">
        <v>94</v>
      </c>
      <c r="G75" s="686"/>
      <c r="H75" s="679"/>
      <c r="I75" s="679"/>
      <c r="J75" s="679"/>
      <c r="K75" s="679"/>
      <c r="L75" s="679"/>
      <c r="M75" s="687"/>
      <c r="N75" s="687"/>
      <c r="O75" s="687"/>
      <c r="P75" s="681">
        <f>SUM(P76:P76)</f>
        <v>9200000</v>
      </c>
      <c r="Q75" s="653">
        <f>P75</f>
        <v>9200000</v>
      </c>
      <c r="R75" s="653">
        <v>14510000</v>
      </c>
      <c r="S75" s="654">
        <f t="shared" ref="S75" si="29">Q75-R75</f>
        <v>-5310000</v>
      </c>
      <c r="T75" s="655">
        <f t="shared" ref="T75" si="30">S75/R75</f>
        <v>-0.36595451412818747</v>
      </c>
    </row>
    <row r="76" spans="1:20" ht="15" customHeight="1">
      <c r="A76" s="617"/>
      <c r="B76" s="632"/>
      <c r="C76" s="719"/>
      <c r="D76" s="632"/>
      <c r="E76" s="3358"/>
      <c r="F76" s="1415" t="s">
        <v>1346</v>
      </c>
      <c r="G76" s="1424">
        <v>9200000</v>
      </c>
      <c r="H76" s="2554" t="s">
        <v>21</v>
      </c>
      <c r="I76" s="1467">
        <v>1</v>
      </c>
      <c r="J76" s="2554"/>
      <c r="K76" s="1419"/>
      <c r="L76" s="1419"/>
      <c r="M76" s="1421"/>
      <c r="N76" s="1421"/>
      <c r="O76" s="1421" t="s">
        <v>22</v>
      </c>
      <c r="P76" s="1422">
        <f>G76*I76</f>
        <v>9200000</v>
      </c>
      <c r="Q76" s="694"/>
      <c r="R76" s="694"/>
      <c r="S76" s="695"/>
      <c r="T76" s="696"/>
    </row>
    <row r="77" spans="1:20" ht="15" customHeight="1">
      <c r="A77" s="617"/>
      <c r="B77" s="632"/>
      <c r="C77" s="719"/>
      <c r="D77" s="632"/>
      <c r="E77" s="3637" t="s">
        <v>197</v>
      </c>
      <c r="F77" s="3638"/>
      <c r="G77" s="3638"/>
      <c r="H77" s="3638"/>
      <c r="I77" s="3638"/>
      <c r="J77" s="3638"/>
      <c r="K77" s="3638"/>
      <c r="L77" s="3638"/>
      <c r="M77" s="3638"/>
      <c r="N77" s="3638"/>
      <c r="O77" s="3638"/>
      <c r="P77" s="3639"/>
      <c r="Q77" s="645">
        <f>P78</f>
        <v>400000</v>
      </c>
      <c r="R77" s="645">
        <v>1200000</v>
      </c>
      <c r="S77" s="646">
        <f>Q77-R77</f>
        <v>-800000</v>
      </c>
      <c r="T77" s="647">
        <f>S77/R77</f>
        <v>-0.66666666666666663</v>
      </c>
    </row>
    <row r="78" spans="1:20" s="963" customFormat="1" ht="15" customHeight="1">
      <c r="A78" s="617"/>
      <c r="B78" s="632"/>
      <c r="C78" s="719"/>
      <c r="D78" s="632"/>
      <c r="E78" s="724"/>
      <c r="F78" s="1507" t="s">
        <v>97</v>
      </c>
      <c r="G78" s="686"/>
      <c r="H78" s="679"/>
      <c r="I78" s="679"/>
      <c r="J78" s="679"/>
      <c r="K78" s="679"/>
      <c r="L78" s="679"/>
      <c r="M78" s="687"/>
      <c r="N78" s="687"/>
      <c r="O78" s="687"/>
      <c r="P78" s="681">
        <f>SUM(P79:P80)</f>
        <v>400000</v>
      </c>
      <c r="Q78" s="653">
        <f>P78</f>
        <v>400000</v>
      </c>
      <c r="R78" s="653">
        <v>1200000</v>
      </c>
      <c r="S78" s="654">
        <f t="shared" ref="S78" si="31">Q78-R78</f>
        <v>-800000</v>
      </c>
      <c r="T78" s="655">
        <f t="shared" ref="T78" si="32">S78/R78</f>
        <v>-0.66666666666666663</v>
      </c>
    </row>
    <row r="79" spans="1:20" s="963" customFormat="1" ht="15" customHeight="1">
      <c r="A79" s="617"/>
      <c r="B79" s="632"/>
      <c r="C79" s="719"/>
      <c r="D79" s="632"/>
      <c r="E79" s="3358"/>
      <c r="F79" s="1511" t="s">
        <v>748</v>
      </c>
      <c r="G79" s="880">
        <v>300000</v>
      </c>
      <c r="H79" s="2522" t="s">
        <v>21</v>
      </c>
      <c r="I79" s="877">
        <v>1</v>
      </c>
      <c r="J79" s="2522"/>
      <c r="K79" s="881"/>
      <c r="L79" s="881"/>
      <c r="M79" s="701"/>
      <c r="N79" s="701"/>
      <c r="O79" s="701" t="s">
        <v>22</v>
      </c>
      <c r="P79" s="882">
        <f>G79*I79</f>
        <v>300000</v>
      </c>
      <c r="Q79" s="694"/>
      <c r="R79" s="694"/>
      <c r="S79" s="695"/>
      <c r="T79" s="696"/>
    </row>
    <row r="80" spans="1:20" s="963" customFormat="1" ht="15" customHeight="1">
      <c r="A80" s="617"/>
      <c r="B80" s="632"/>
      <c r="C80" s="719"/>
      <c r="D80" s="632"/>
      <c r="E80" s="3358"/>
      <c r="F80" s="1509" t="s">
        <v>98</v>
      </c>
      <c r="G80" s="702">
        <v>100000</v>
      </c>
      <c r="H80" s="2522" t="s">
        <v>21</v>
      </c>
      <c r="I80" s="877">
        <v>1</v>
      </c>
      <c r="J80" s="2522"/>
      <c r="K80" s="881"/>
      <c r="L80" s="881"/>
      <c r="M80" s="701"/>
      <c r="N80" s="701"/>
      <c r="O80" s="701" t="s">
        <v>22</v>
      </c>
      <c r="P80" s="882">
        <f>G80*I80</f>
        <v>100000</v>
      </c>
      <c r="Q80" s="694"/>
      <c r="R80" s="694"/>
      <c r="S80" s="695"/>
      <c r="T80" s="696"/>
    </row>
    <row r="81" spans="1:23" s="963" customFormat="1" ht="15" customHeight="1">
      <c r="A81" s="617"/>
      <c r="B81" s="632"/>
      <c r="C81" s="719"/>
      <c r="D81" s="632"/>
      <c r="E81" s="3637" t="s">
        <v>3072</v>
      </c>
      <c r="F81" s="3638"/>
      <c r="G81" s="3638"/>
      <c r="H81" s="3638"/>
      <c r="I81" s="3638"/>
      <c r="J81" s="3638"/>
      <c r="K81" s="3638"/>
      <c r="L81" s="3638"/>
      <c r="M81" s="3638"/>
      <c r="N81" s="3638"/>
      <c r="O81" s="3638"/>
      <c r="P81" s="3639"/>
      <c r="Q81" s="645">
        <v>0</v>
      </c>
      <c r="R81" s="645">
        <v>1902000</v>
      </c>
      <c r="S81" s="646">
        <f>Q81-R81</f>
        <v>-1902000</v>
      </c>
      <c r="T81" s="647">
        <f>S81/R81</f>
        <v>-1</v>
      </c>
    </row>
    <row r="82" spans="1:23" ht="15" customHeight="1">
      <c r="A82" s="617"/>
      <c r="B82" s="632"/>
      <c r="C82" s="719"/>
      <c r="D82" s="632"/>
      <c r="E82" s="3637" t="s">
        <v>3084</v>
      </c>
      <c r="F82" s="3638"/>
      <c r="G82" s="3638"/>
      <c r="H82" s="3638"/>
      <c r="I82" s="3638"/>
      <c r="J82" s="3638"/>
      <c r="K82" s="3638"/>
      <c r="L82" s="3638"/>
      <c r="M82" s="3638"/>
      <c r="N82" s="3638"/>
      <c r="O82" s="3638"/>
      <c r="P82" s="3639"/>
      <c r="Q82" s="645">
        <f>P83</f>
        <v>1200000</v>
      </c>
      <c r="R82" s="645">
        <v>0</v>
      </c>
      <c r="S82" s="646">
        <f>Q82-R82</f>
        <v>1200000</v>
      </c>
      <c r="T82" s="647"/>
      <c r="V82" s="1651"/>
    </row>
    <row r="83" spans="1:23" ht="15" customHeight="1">
      <c r="A83" s="617"/>
      <c r="B83" s="632"/>
      <c r="C83" s="719"/>
      <c r="D83" s="632"/>
      <c r="E83" s="3310"/>
      <c r="F83" s="1507" t="s">
        <v>1234</v>
      </c>
      <c r="G83" s="686"/>
      <c r="H83" s="679"/>
      <c r="I83" s="679"/>
      <c r="J83" s="679"/>
      <c r="K83" s="679"/>
      <c r="L83" s="1508"/>
      <c r="M83" s="679"/>
      <c r="N83" s="687"/>
      <c r="O83" s="687"/>
      <c r="P83" s="681">
        <f>P84</f>
        <v>1200000</v>
      </c>
      <c r="Q83" s="653">
        <v>0</v>
      </c>
      <c r="R83" s="653">
        <v>0</v>
      </c>
      <c r="S83" s="654">
        <f t="shared" ref="S83" si="33">Q83-R83</f>
        <v>0</v>
      </c>
      <c r="T83" s="655"/>
    </row>
    <row r="84" spans="1:23" ht="15" customHeight="1">
      <c r="A84" s="617"/>
      <c r="B84" s="632"/>
      <c r="C84" s="719"/>
      <c r="D84" s="632"/>
      <c r="E84" s="3310"/>
      <c r="F84" s="1511" t="s">
        <v>1382</v>
      </c>
      <c r="G84" s="1552">
        <v>100000</v>
      </c>
      <c r="H84" s="1168" t="s">
        <v>21</v>
      </c>
      <c r="I84" s="1571">
        <v>12</v>
      </c>
      <c r="J84" s="1168"/>
      <c r="K84" s="1571"/>
      <c r="L84" s="1570"/>
      <c r="M84" s="1571"/>
      <c r="N84" s="692"/>
      <c r="O84" s="692" t="s">
        <v>22</v>
      </c>
      <c r="P84" s="693">
        <f>ROUNDUP(G84*I84,-3)</f>
        <v>1200000</v>
      </c>
      <c r="Q84" s="1561"/>
      <c r="R84" s="1561"/>
      <c r="S84" s="1562"/>
      <c r="T84" s="1563"/>
    </row>
    <row r="85" spans="1:23" ht="15" customHeight="1">
      <c r="A85" s="617"/>
      <c r="B85" s="632"/>
      <c r="C85" s="719"/>
      <c r="D85" s="632"/>
      <c r="E85" s="3637" t="s">
        <v>222</v>
      </c>
      <c r="F85" s="3638"/>
      <c r="G85" s="3638"/>
      <c r="H85" s="3638"/>
      <c r="I85" s="3638"/>
      <c r="J85" s="3638"/>
      <c r="K85" s="3638"/>
      <c r="L85" s="3638"/>
      <c r="M85" s="3638"/>
      <c r="N85" s="3638"/>
      <c r="O85" s="3638"/>
      <c r="P85" s="3639"/>
      <c r="Q85" s="645">
        <f>P86+P88</f>
        <v>1540000</v>
      </c>
      <c r="R85" s="645">
        <v>0</v>
      </c>
      <c r="S85" s="646">
        <f>Q85-R85</f>
        <v>1540000</v>
      </c>
      <c r="T85" s="647"/>
    </row>
    <row r="86" spans="1:23" ht="15" customHeight="1">
      <c r="A86" s="617"/>
      <c r="B86" s="632"/>
      <c r="C86" s="719"/>
      <c r="D86" s="632"/>
      <c r="E86" s="632"/>
      <c r="F86" s="1507" t="s">
        <v>1237</v>
      </c>
      <c r="G86" s="686"/>
      <c r="H86" s="679"/>
      <c r="I86" s="679"/>
      <c r="J86" s="679"/>
      <c r="K86" s="679"/>
      <c r="L86" s="1508"/>
      <c r="M86" s="679"/>
      <c r="N86" s="687"/>
      <c r="O86" s="687"/>
      <c r="P86" s="681">
        <f>P87</f>
        <v>900000</v>
      </c>
      <c r="Q86" s="653">
        <f>P86</f>
        <v>900000</v>
      </c>
      <c r="R86" s="653">
        <v>0</v>
      </c>
      <c r="S86" s="654">
        <f t="shared" ref="S86" si="34">Q86-R86</f>
        <v>900000</v>
      </c>
      <c r="T86" s="655"/>
    </row>
    <row r="87" spans="1:23" ht="15" customHeight="1">
      <c r="A87" s="617"/>
      <c r="B87" s="632"/>
      <c r="C87" s="719"/>
      <c r="D87" s="632"/>
      <c r="E87" s="632"/>
      <c r="F87" s="1511" t="s">
        <v>1383</v>
      </c>
      <c r="G87" s="1568">
        <v>75000</v>
      </c>
      <c r="H87" s="1168" t="s">
        <v>21</v>
      </c>
      <c r="I87" s="1571">
        <v>12</v>
      </c>
      <c r="J87" s="1168"/>
      <c r="K87" s="1571"/>
      <c r="L87" s="1570"/>
      <c r="M87" s="1571"/>
      <c r="N87" s="692"/>
      <c r="O87" s="692" t="s">
        <v>22</v>
      </c>
      <c r="P87" s="693">
        <f>ROUNDUP(G87*I87,-3)</f>
        <v>900000</v>
      </c>
      <c r="Q87" s="666"/>
      <c r="R87" s="666"/>
      <c r="S87" s="667"/>
      <c r="T87" s="668"/>
    </row>
    <row r="88" spans="1:23" ht="15" customHeight="1">
      <c r="A88" s="617"/>
      <c r="B88" s="632"/>
      <c r="C88" s="641"/>
      <c r="D88" s="632"/>
      <c r="E88" s="632"/>
      <c r="F88" s="1507" t="s">
        <v>1384</v>
      </c>
      <c r="G88" s="686"/>
      <c r="H88" s="679"/>
      <c r="I88" s="679"/>
      <c r="J88" s="679"/>
      <c r="K88" s="679"/>
      <c r="L88" s="1508"/>
      <c r="M88" s="679"/>
      <c r="N88" s="687"/>
      <c r="O88" s="687"/>
      <c r="P88" s="681">
        <f>SUM(P89)</f>
        <v>640000</v>
      </c>
      <c r="Q88" s="653">
        <f>P88</f>
        <v>640000</v>
      </c>
      <c r="R88" s="653">
        <v>0</v>
      </c>
      <c r="S88" s="654">
        <f t="shared" ref="S88" si="35">Q88-R88</f>
        <v>640000</v>
      </c>
      <c r="T88" s="655"/>
    </row>
    <row r="89" spans="1:23" ht="15" customHeight="1">
      <c r="A89" s="617"/>
      <c r="B89" s="632"/>
      <c r="C89" s="641"/>
      <c r="D89" s="632"/>
      <c r="E89" s="3366"/>
      <c r="F89" s="1531" t="s">
        <v>1385</v>
      </c>
      <c r="G89" s="711">
        <v>80000</v>
      </c>
      <c r="H89" s="709" t="s">
        <v>21</v>
      </c>
      <c r="I89" s="2382">
        <v>8</v>
      </c>
      <c r="J89" s="709"/>
      <c r="K89" s="895"/>
      <c r="L89" s="1532"/>
      <c r="M89" s="895"/>
      <c r="N89" s="710"/>
      <c r="O89" s="710" t="s">
        <v>22</v>
      </c>
      <c r="P89" s="896">
        <f>ROUNDUP(G89*I89,-3)</f>
        <v>640000</v>
      </c>
      <c r="Q89" s="712"/>
      <c r="R89" s="712"/>
      <c r="S89" s="713"/>
      <c r="T89" s="714"/>
    </row>
    <row r="90" spans="1:23" s="963" customFormat="1" ht="15" customHeight="1">
      <c r="A90" s="617"/>
      <c r="B90" s="632"/>
      <c r="C90" s="719"/>
      <c r="D90" s="632"/>
      <c r="E90" s="3637" t="s">
        <v>252</v>
      </c>
      <c r="F90" s="3638"/>
      <c r="G90" s="3638"/>
      <c r="H90" s="3638"/>
      <c r="I90" s="3638"/>
      <c r="J90" s="3638"/>
      <c r="K90" s="3638"/>
      <c r="L90" s="3638"/>
      <c r="M90" s="3638"/>
      <c r="N90" s="3638"/>
      <c r="O90" s="3638"/>
      <c r="P90" s="3639"/>
      <c r="Q90" s="1049">
        <v>0</v>
      </c>
      <c r="R90" s="1049">
        <v>3900000</v>
      </c>
      <c r="S90" s="1050">
        <f>Q90-R90</f>
        <v>-3900000</v>
      </c>
      <c r="T90" s="1051">
        <f>S90/R90</f>
        <v>-1</v>
      </c>
    </row>
    <row r="91" spans="1:23" s="963" customFormat="1" ht="15" customHeight="1">
      <c r="A91" s="617"/>
      <c r="B91" s="632"/>
      <c r="C91" s="719"/>
      <c r="D91" s="632"/>
      <c r="E91" s="3637" t="s">
        <v>3083</v>
      </c>
      <c r="F91" s="3638"/>
      <c r="G91" s="3638"/>
      <c r="H91" s="3638"/>
      <c r="I91" s="3638"/>
      <c r="J91" s="3638"/>
      <c r="K91" s="3638"/>
      <c r="L91" s="3638"/>
      <c r="M91" s="3638"/>
      <c r="N91" s="3638"/>
      <c r="O91" s="3638"/>
      <c r="P91" s="3639"/>
      <c r="Q91" s="645">
        <v>0</v>
      </c>
      <c r="R91" s="645">
        <v>300000</v>
      </c>
      <c r="S91" s="646">
        <f>Q91-R91</f>
        <v>-300000</v>
      </c>
      <c r="T91" s="647">
        <f>S91/R91</f>
        <v>-1</v>
      </c>
    </row>
    <row r="92" spans="1:23" s="1137" customFormat="1" ht="15" customHeight="1">
      <c r="A92" s="2383"/>
      <c r="B92" s="1139"/>
      <c r="C92" s="1139"/>
      <c r="D92" s="1139"/>
      <c r="E92" s="3637" t="s">
        <v>253</v>
      </c>
      <c r="F92" s="3638"/>
      <c r="G92" s="3638"/>
      <c r="H92" s="3638"/>
      <c r="I92" s="3638"/>
      <c r="J92" s="3638"/>
      <c r="K92" s="3638"/>
      <c r="L92" s="3638"/>
      <c r="M92" s="3638"/>
      <c r="N92" s="3638"/>
      <c r="O92" s="3638"/>
      <c r="P92" s="3639"/>
      <c r="Q92" s="1154">
        <f>+P93</f>
        <v>2000000</v>
      </c>
      <c r="R92" s="1154">
        <v>0</v>
      </c>
      <c r="S92" s="1155">
        <f>Q92-R92</f>
        <v>2000000</v>
      </c>
      <c r="T92" s="647"/>
    </row>
    <row r="93" spans="1:23" s="1137" customFormat="1" ht="15" customHeight="1">
      <c r="A93" s="2383"/>
      <c r="B93" s="1139"/>
      <c r="C93" s="1139"/>
      <c r="D93" s="1139"/>
      <c r="E93" s="3367"/>
      <c r="F93" s="1507" t="s">
        <v>1353</v>
      </c>
      <c r="G93" s="686"/>
      <c r="H93" s="679"/>
      <c r="I93" s="679"/>
      <c r="J93" s="679"/>
      <c r="K93" s="679"/>
      <c r="L93" s="1508"/>
      <c r="M93" s="679"/>
      <c r="N93" s="687"/>
      <c r="O93" s="687"/>
      <c r="P93" s="681">
        <f>SUM(P94:P94)</f>
        <v>2000000</v>
      </c>
      <c r="Q93" s="653">
        <f>P93</f>
        <v>2000000</v>
      </c>
      <c r="R93" s="653">
        <v>0</v>
      </c>
      <c r="S93" s="654">
        <f t="shared" ref="S93" si="36">Q93-R93</f>
        <v>2000000</v>
      </c>
      <c r="T93" s="655"/>
    </row>
    <row r="94" spans="1:23" s="1137" customFormat="1" ht="15" customHeight="1" thickBot="1">
      <c r="A94" s="2383"/>
      <c r="B94" s="1139"/>
      <c r="C94" s="1139"/>
      <c r="D94" s="1139"/>
      <c r="E94" s="3368"/>
      <c r="F94" s="1473" t="s">
        <v>1354</v>
      </c>
      <c r="G94" s="2105">
        <v>20000</v>
      </c>
      <c r="H94" s="659" t="s">
        <v>21</v>
      </c>
      <c r="I94" s="2384">
        <v>100</v>
      </c>
      <c r="J94" s="2554"/>
      <c r="K94" s="1469"/>
      <c r="L94" s="1420"/>
      <c r="M94" s="1419"/>
      <c r="N94" s="1421"/>
      <c r="O94" s="1421" t="s">
        <v>22</v>
      </c>
      <c r="P94" s="1422">
        <f>G94*I94</f>
        <v>2000000</v>
      </c>
      <c r="Q94" s="694"/>
      <c r="R94" s="694"/>
      <c r="S94" s="695"/>
      <c r="T94" s="696"/>
    </row>
    <row r="95" spans="1:23" ht="15" customHeight="1" thickBot="1">
      <c r="A95" s="617"/>
      <c r="B95" s="2385"/>
      <c r="C95" s="2386"/>
      <c r="D95" s="2387" t="s">
        <v>293</v>
      </c>
      <c r="E95" s="3275"/>
      <c r="F95" s="533"/>
      <c r="G95" s="534"/>
      <c r="H95" s="533"/>
      <c r="I95" s="533"/>
      <c r="J95" s="533"/>
      <c r="K95" s="533"/>
      <c r="L95" s="533"/>
      <c r="M95" s="533"/>
      <c r="N95" s="535"/>
      <c r="O95" s="535"/>
      <c r="P95" s="533"/>
      <c r="Q95" s="638">
        <f>Q96</f>
        <v>0</v>
      </c>
      <c r="R95" s="638">
        <f>R96</f>
        <v>7000000</v>
      </c>
      <c r="S95" s="937">
        <f>Q95-R95</f>
        <v>-7000000</v>
      </c>
      <c r="T95" s="616">
        <f>S95/R95</f>
        <v>-1</v>
      </c>
      <c r="W95" s="1651"/>
    </row>
    <row r="96" spans="1:23" ht="15" customHeight="1">
      <c r="A96" s="617"/>
      <c r="B96" s="2385"/>
      <c r="C96" s="2386"/>
      <c r="D96" s="2388"/>
      <c r="E96" s="3637" t="s">
        <v>201</v>
      </c>
      <c r="F96" s="3638"/>
      <c r="G96" s="3638"/>
      <c r="H96" s="3638"/>
      <c r="I96" s="3638"/>
      <c r="J96" s="3638"/>
      <c r="K96" s="3638"/>
      <c r="L96" s="3638"/>
      <c r="M96" s="3638"/>
      <c r="N96" s="3638"/>
      <c r="O96" s="3638"/>
      <c r="P96" s="3639"/>
      <c r="Q96" s="645">
        <v>0</v>
      </c>
      <c r="R96" s="645">
        <v>7000000</v>
      </c>
      <c r="S96" s="646">
        <f>Q96-R96</f>
        <v>-7000000</v>
      </c>
      <c r="T96" s="647">
        <f>S96/R96</f>
        <v>-1</v>
      </c>
    </row>
    <row r="97" spans="1:23" ht="15" customHeight="1" thickBot="1">
      <c r="A97" s="617"/>
      <c r="B97" s="632"/>
      <c r="C97" s="3657" t="s">
        <v>255</v>
      </c>
      <c r="D97" s="3658"/>
      <c r="E97" s="3658"/>
      <c r="F97" s="3658"/>
      <c r="G97" s="3658"/>
      <c r="H97" s="3658"/>
      <c r="I97" s="3658"/>
      <c r="J97" s="3658"/>
      <c r="K97" s="3658"/>
      <c r="L97" s="3658"/>
      <c r="M97" s="3658"/>
      <c r="N97" s="3658"/>
      <c r="O97" s="3658"/>
      <c r="P97" s="3659"/>
      <c r="Q97" s="623">
        <f>Q98+Q100</f>
        <v>60592000</v>
      </c>
      <c r="R97" s="623">
        <f>R98+R100</f>
        <v>282518000</v>
      </c>
      <c r="S97" s="624">
        <f>Q97-R97</f>
        <v>-221926000</v>
      </c>
      <c r="T97" s="625">
        <f>S97/R97</f>
        <v>-0.78552870967513577</v>
      </c>
    </row>
    <row r="98" spans="1:23" s="2390" customFormat="1" ht="15" customHeight="1" thickBot="1">
      <c r="A98" s="2389"/>
      <c r="B98" s="2385"/>
      <c r="C98" s="2386"/>
      <c r="D98" s="532" t="s">
        <v>120</v>
      </c>
      <c r="E98" s="3275"/>
      <c r="F98" s="533"/>
      <c r="G98" s="534"/>
      <c r="H98" s="533"/>
      <c r="I98" s="533"/>
      <c r="J98" s="533"/>
      <c r="K98" s="533"/>
      <c r="L98" s="533"/>
      <c r="M98" s="533"/>
      <c r="N98" s="535"/>
      <c r="O98" s="535"/>
      <c r="P98" s="533"/>
      <c r="Q98" s="638">
        <f>Q99</f>
        <v>0</v>
      </c>
      <c r="R98" s="638">
        <f>R99</f>
        <v>229944000</v>
      </c>
      <c r="S98" s="937">
        <f>Q98-R98</f>
        <v>-229944000</v>
      </c>
      <c r="T98" s="616">
        <f t="shared" ref="T98:T99" si="37">S98/R98</f>
        <v>-1</v>
      </c>
    </row>
    <row r="99" spans="1:23" s="2390" customFormat="1" ht="15" customHeight="1" thickBot="1">
      <c r="A99" s="2389"/>
      <c r="B99" s="2385"/>
      <c r="C99" s="2386"/>
      <c r="D99" s="2388"/>
      <c r="E99" s="3637" t="s">
        <v>256</v>
      </c>
      <c r="F99" s="3638"/>
      <c r="G99" s="3638"/>
      <c r="H99" s="3638"/>
      <c r="I99" s="3638"/>
      <c r="J99" s="3638"/>
      <c r="K99" s="3638"/>
      <c r="L99" s="3638"/>
      <c r="M99" s="3638"/>
      <c r="N99" s="3638"/>
      <c r="O99" s="3638"/>
      <c r="P99" s="3639"/>
      <c r="Q99" s="645">
        <v>0</v>
      </c>
      <c r="R99" s="2391">
        <v>229944000</v>
      </c>
      <c r="S99" s="654">
        <f t="shared" ref="S99" si="38">Q99-R99</f>
        <v>-229944000</v>
      </c>
      <c r="T99" s="655">
        <f t="shared" si="37"/>
        <v>-1</v>
      </c>
    </row>
    <row r="100" spans="1:23" ht="15" customHeight="1" thickBot="1">
      <c r="A100" s="617"/>
      <c r="B100" s="632"/>
      <c r="C100" s="719"/>
      <c r="D100" s="684" t="s">
        <v>258</v>
      </c>
      <c r="E100" s="2229"/>
      <c r="F100" s="1269"/>
      <c r="G100" s="636"/>
      <c r="H100" s="635"/>
      <c r="I100" s="635"/>
      <c r="J100" s="635"/>
      <c r="K100" s="635"/>
      <c r="L100" s="635"/>
      <c r="M100" s="635"/>
      <c r="N100" s="637"/>
      <c r="O100" s="637"/>
      <c r="P100" s="635"/>
      <c r="Q100" s="638">
        <f>Q101+Q164+Q180</f>
        <v>60592000</v>
      </c>
      <c r="R100" s="638">
        <f>R101+R164+R180</f>
        <v>52574000</v>
      </c>
      <c r="S100" s="937">
        <f>Q100-R100</f>
        <v>8018000</v>
      </c>
      <c r="T100" s="616">
        <f>S100/R100</f>
        <v>0.15250884467607562</v>
      </c>
    </row>
    <row r="101" spans="1:23" ht="15" customHeight="1">
      <c r="A101" s="617"/>
      <c r="B101" s="632"/>
      <c r="C101" s="719"/>
      <c r="D101" s="626"/>
      <c r="E101" s="3637" t="s">
        <v>3082</v>
      </c>
      <c r="F101" s="3638"/>
      <c r="G101" s="3638"/>
      <c r="H101" s="3638"/>
      <c r="I101" s="3638"/>
      <c r="J101" s="3638"/>
      <c r="K101" s="3638"/>
      <c r="L101" s="3638"/>
      <c r="M101" s="3638"/>
      <c r="N101" s="3638"/>
      <c r="O101" s="3638"/>
      <c r="P101" s="3639"/>
      <c r="Q101" s="645">
        <f>P102+P105+P125+P127+P132+P135+P140+P146+P151</f>
        <v>31100000</v>
      </c>
      <c r="R101" s="645">
        <f>SUM(R102:R163)</f>
        <v>30400000</v>
      </c>
      <c r="S101" s="646">
        <f>Q101-R101</f>
        <v>700000</v>
      </c>
      <c r="T101" s="647">
        <f>S101/R101</f>
        <v>2.3026315789473683E-2</v>
      </c>
    </row>
    <row r="102" spans="1:23" ht="15" customHeight="1">
      <c r="A102" s="617"/>
      <c r="B102" s="632"/>
      <c r="C102" s="719"/>
      <c r="D102" s="632"/>
      <c r="E102" s="1143"/>
      <c r="F102" s="1507" t="s">
        <v>1357</v>
      </c>
      <c r="G102" s="686"/>
      <c r="H102" s="679"/>
      <c r="I102" s="679"/>
      <c r="J102" s="679"/>
      <c r="K102" s="679"/>
      <c r="L102" s="1508"/>
      <c r="M102" s="679"/>
      <c r="N102" s="687"/>
      <c r="O102" s="687"/>
      <c r="P102" s="681">
        <f>SUM(P103:P104)</f>
        <v>700000</v>
      </c>
      <c r="Q102" s="653">
        <f>P102</f>
        <v>700000</v>
      </c>
      <c r="R102" s="653">
        <v>1000000</v>
      </c>
      <c r="S102" s="654">
        <f t="shared" ref="S102" si="39">Q102-R102</f>
        <v>-300000</v>
      </c>
      <c r="T102" s="655">
        <f t="shared" ref="T102" si="40">S102/R102</f>
        <v>-0.3</v>
      </c>
    </row>
    <row r="103" spans="1:23" ht="15" customHeight="1">
      <c r="A103" s="617"/>
      <c r="B103" s="632"/>
      <c r="C103" s="719"/>
      <c r="D103" s="632"/>
      <c r="E103" s="1143"/>
      <c r="F103" s="1511" t="s">
        <v>2601</v>
      </c>
      <c r="G103" s="1552">
        <v>50000</v>
      </c>
      <c r="H103" s="1168" t="s">
        <v>21</v>
      </c>
      <c r="I103" s="2291">
        <v>4</v>
      </c>
      <c r="J103" s="2522"/>
      <c r="K103" s="2522"/>
      <c r="L103" s="2523"/>
      <c r="M103" s="2522"/>
      <c r="N103" s="701"/>
      <c r="O103" s="701" t="s">
        <v>22</v>
      </c>
      <c r="P103" s="882">
        <f>ROUNDUP(G103*I103,-3)</f>
        <v>200000</v>
      </c>
      <c r="Q103" s="694"/>
      <c r="R103" s="694"/>
      <c r="S103" s="695"/>
      <c r="T103" s="696"/>
    </row>
    <row r="104" spans="1:23" ht="15" customHeight="1">
      <c r="A104" s="617"/>
      <c r="B104" s="632"/>
      <c r="C104" s="719"/>
      <c r="D104" s="632"/>
      <c r="E104" s="1143"/>
      <c r="F104" s="1511" t="s">
        <v>2602</v>
      </c>
      <c r="G104" s="1552">
        <v>250000</v>
      </c>
      <c r="H104" s="1168" t="s">
        <v>21</v>
      </c>
      <c r="I104" s="2369">
        <v>2</v>
      </c>
      <c r="J104" s="2522"/>
      <c r="K104" s="2522"/>
      <c r="L104" s="2523"/>
      <c r="M104" s="2522"/>
      <c r="N104" s="701"/>
      <c r="O104" s="701" t="s">
        <v>22</v>
      </c>
      <c r="P104" s="882">
        <f>ROUNDUP(G104*I104,-3)</f>
        <v>500000</v>
      </c>
      <c r="Q104" s="694"/>
      <c r="R104" s="694"/>
      <c r="S104" s="695"/>
      <c r="T104" s="696"/>
    </row>
    <row r="105" spans="1:23" ht="15" customHeight="1">
      <c r="A105" s="617"/>
      <c r="B105" s="632"/>
      <c r="C105" s="719"/>
      <c r="D105" s="632"/>
      <c r="E105" s="1143"/>
      <c r="F105" s="1507" t="s">
        <v>1358</v>
      </c>
      <c r="G105" s="686"/>
      <c r="H105" s="679"/>
      <c r="I105" s="679"/>
      <c r="J105" s="679"/>
      <c r="K105" s="679"/>
      <c r="L105" s="1508"/>
      <c r="M105" s="679"/>
      <c r="N105" s="687"/>
      <c r="O105" s="687"/>
      <c r="P105" s="681">
        <f>SUM(P106,P109,P114,P117,P121)</f>
        <v>10000000</v>
      </c>
      <c r="Q105" s="653">
        <f>P105</f>
        <v>10000000</v>
      </c>
      <c r="R105" s="653">
        <v>8800000</v>
      </c>
      <c r="S105" s="654">
        <f t="shared" ref="S105" si="41">Q105-R105</f>
        <v>1200000</v>
      </c>
      <c r="T105" s="655">
        <f t="shared" ref="T105" si="42">S105/R105</f>
        <v>0.13636363636363635</v>
      </c>
    </row>
    <row r="106" spans="1:23" ht="15" customHeight="1">
      <c r="A106" s="617"/>
      <c r="B106" s="632"/>
      <c r="C106" s="719"/>
      <c r="D106" s="632"/>
      <c r="E106" s="1143"/>
      <c r="F106" s="1511" t="s">
        <v>2314</v>
      </c>
      <c r="G106" s="702"/>
      <c r="H106" s="2522"/>
      <c r="I106" s="878"/>
      <c r="J106" s="2522"/>
      <c r="K106" s="2522"/>
      <c r="L106" s="2523"/>
      <c r="M106" s="2522"/>
      <c r="N106" s="701"/>
      <c r="O106" s="701"/>
      <c r="P106" s="882">
        <f>SUM(P107:P108)</f>
        <v>2000000</v>
      </c>
      <c r="Q106" s="694"/>
      <c r="R106" s="694"/>
      <c r="S106" s="695"/>
      <c r="T106" s="696"/>
    </row>
    <row r="107" spans="1:23" ht="15" customHeight="1">
      <c r="A107" s="617"/>
      <c r="B107" s="632"/>
      <c r="C107" s="719"/>
      <c r="D107" s="632"/>
      <c r="E107" s="1143"/>
      <c r="F107" s="1415" t="s">
        <v>2982</v>
      </c>
      <c r="G107" s="2188">
        <v>100000</v>
      </c>
      <c r="H107" s="659" t="s">
        <v>21</v>
      </c>
      <c r="I107" s="2392">
        <v>10</v>
      </c>
      <c r="J107" s="2522"/>
      <c r="K107" s="2522"/>
      <c r="L107" s="2523"/>
      <c r="M107" s="2522"/>
      <c r="N107" s="701"/>
      <c r="O107" s="701" t="s">
        <v>22</v>
      </c>
      <c r="P107" s="882">
        <f>ROUNDUP(G107*I107,-3)</f>
        <v>1000000</v>
      </c>
      <c r="Q107" s="694"/>
      <c r="R107" s="694"/>
      <c r="S107" s="695"/>
      <c r="T107" s="696"/>
      <c r="W107" s="2090"/>
    </row>
    <row r="108" spans="1:23" ht="15" customHeight="1">
      <c r="A108" s="617"/>
      <c r="B108" s="632"/>
      <c r="C108" s="719"/>
      <c r="D108" s="632"/>
      <c r="E108" s="1143"/>
      <c r="F108" s="1415" t="s">
        <v>2603</v>
      </c>
      <c r="G108" s="2188">
        <v>100000</v>
      </c>
      <c r="H108" s="659" t="s">
        <v>21</v>
      </c>
      <c r="I108" s="2392">
        <v>10</v>
      </c>
      <c r="J108" s="2522"/>
      <c r="K108" s="2522"/>
      <c r="L108" s="2523"/>
      <c r="M108" s="2522"/>
      <c r="N108" s="701"/>
      <c r="O108" s="701" t="s">
        <v>22</v>
      </c>
      <c r="P108" s="882">
        <f>ROUNDUP(G108*I108,-3)</f>
        <v>1000000</v>
      </c>
      <c r="Q108" s="694"/>
      <c r="R108" s="694"/>
      <c r="S108" s="695"/>
      <c r="T108" s="696"/>
    </row>
    <row r="109" spans="1:23" ht="15" customHeight="1">
      <c r="A109" s="759"/>
      <c r="B109" s="703"/>
      <c r="C109" s="619"/>
      <c r="D109" s="703"/>
      <c r="E109" s="3318"/>
      <c r="F109" s="1531" t="s">
        <v>1359</v>
      </c>
      <c r="G109" s="711"/>
      <c r="H109" s="709"/>
      <c r="I109" s="894"/>
      <c r="J109" s="709"/>
      <c r="K109" s="709"/>
      <c r="L109" s="1582"/>
      <c r="M109" s="709"/>
      <c r="N109" s="710"/>
      <c r="O109" s="710"/>
      <c r="P109" s="896">
        <f>SUM(P110:P113)</f>
        <v>3000000</v>
      </c>
      <c r="Q109" s="712"/>
      <c r="R109" s="712"/>
      <c r="S109" s="713"/>
      <c r="T109" s="714"/>
    </row>
    <row r="110" spans="1:23" ht="15" customHeight="1">
      <c r="A110" s="617"/>
      <c r="B110" s="632"/>
      <c r="C110" s="719"/>
      <c r="D110" s="632"/>
      <c r="E110" s="1143"/>
      <c r="F110" s="1415" t="s">
        <v>2604</v>
      </c>
      <c r="G110" s="2188">
        <v>280000</v>
      </c>
      <c r="H110" s="659" t="s">
        <v>21</v>
      </c>
      <c r="I110" s="2392">
        <v>5</v>
      </c>
      <c r="J110" s="2522"/>
      <c r="K110" s="2522"/>
      <c r="L110" s="2523"/>
      <c r="M110" s="2522"/>
      <c r="N110" s="701"/>
      <c r="O110" s="701" t="s">
        <v>22</v>
      </c>
      <c r="P110" s="882">
        <f>ROUNDUP(G110*I110,-3)</f>
        <v>1400000</v>
      </c>
      <c r="Q110" s="694"/>
      <c r="R110" s="694"/>
      <c r="S110" s="695"/>
      <c r="T110" s="696"/>
    </row>
    <row r="111" spans="1:23" ht="15" customHeight="1">
      <c r="A111" s="617"/>
      <c r="B111" s="632"/>
      <c r="C111" s="719"/>
      <c r="D111" s="632"/>
      <c r="E111" s="1143"/>
      <c r="F111" s="1415" t="s">
        <v>2605</v>
      </c>
      <c r="G111" s="2188">
        <v>135000</v>
      </c>
      <c r="H111" s="659" t="s">
        <v>21</v>
      </c>
      <c r="I111" s="2392">
        <v>10</v>
      </c>
      <c r="J111" s="2522"/>
      <c r="K111" s="2522"/>
      <c r="L111" s="2523"/>
      <c r="M111" s="2522"/>
      <c r="N111" s="701"/>
      <c r="O111" s="701" t="s">
        <v>22</v>
      </c>
      <c r="P111" s="882">
        <f>ROUNDUP(G111*I111,-3)</f>
        <v>1350000</v>
      </c>
      <c r="Q111" s="694"/>
      <c r="R111" s="694"/>
      <c r="S111" s="695"/>
      <c r="T111" s="696"/>
    </row>
    <row r="112" spans="1:23" ht="15" customHeight="1">
      <c r="A112" s="617"/>
      <c r="B112" s="632"/>
      <c r="C112" s="719"/>
      <c r="D112" s="632"/>
      <c r="E112" s="1143"/>
      <c r="F112" s="1415" t="s">
        <v>2606</v>
      </c>
      <c r="G112" s="2188">
        <v>50000</v>
      </c>
      <c r="H112" s="659" t="s">
        <v>21</v>
      </c>
      <c r="I112" s="2392">
        <v>4</v>
      </c>
      <c r="J112" s="2522"/>
      <c r="K112" s="2522" t="s">
        <v>2981</v>
      </c>
      <c r="L112" s="2523"/>
      <c r="M112" s="2522"/>
      <c r="N112" s="701"/>
      <c r="O112" s="701" t="s">
        <v>22</v>
      </c>
      <c r="P112" s="882">
        <f>ROUNDUP(G112*I112,-3)</f>
        <v>200000</v>
      </c>
      <c r="Q112" s="694"/>
      <c r="R112" s="694"/>
      <c r="S112" s="695"/>
      <c r="T112" s="696"/>
    </row>
    <row r="113" spans="1:20" ht="15" customHeight="1">
      <c r="A113" s="617"/>
      <c r="B113" s="632"/>
      <c r="C113" s="719"/>
      <c r="D113" s="632"/>
      <c r="E113" s="1143"/>
      <c r="F113" s="1415" t="s">
        <v>2607</v>
      </c>
      <c r="G113" s="2188">
        <v>50000</v>
      </c>
      <c r="H113" s="659" t="s">
        <v>21</v>
      </c>
      <c r="I113" s="2392">
        <v>1</v>
      </c>
      <c r="J113" s="2522"/>
      <c r="K113" s="2522"/>
      <c r="L113" s="2523"/>
      <c r="M113" s="2522"/>
      <c r="N113" s="701"/>
      <c r="O113" s="701" t="s">
        <v>22</v>
      </c>
      <c r="P113" s="882">
        <f>ROUNDUP(G113*I113,-3)</f>
        <v>50000</v>
      </c>
      <c r="Q113" s="694"/>
      <c r="R113" s="694"/>
      <c r="S113" s="695"/>
      <c r="T113" s="696"/>
    </row>
    <row r="114" spans="1:20" ht="15" customHeight="1">
      <c r="A114" s="617"/>
      <c r="B114" s="632"/>
      <c r="C114" s="719"/>
      <c r="D114" s="632"/>
      <c r="E114" s="1143"/>
      <c r="F114" s="1543" t="s">
        <v>2315</v>
      </c>
      <c r="G114" s="702"/>
      <c r="H114" s="2522"/>
      <c r="I114" s="2522"/>
      <c r="J114" s="2522"/>
      <c r="K114" s="2522"/>
      <c r="L114" s="2523"/>
      <c r="M114" s="2522"/>
      <c r="N114" s="701"/>
      <c r="O114" s="701"/>
      <c r="P114" s="1513">
        <f>SUM(P115:P116)</f>
        <v>1000000</v>
      </c>
      <c r="Q114" s="694"/>
      <c r="R114" s="694"/>
      <c r="S114" s="695"/>
      <c r="T114" s="696"/>
    </row>
    <row r="115" spans="1:20" ht="15" customHeight="1">
      <c r="A115" s="617"/>
      <c r="B115" s="632"/>
      <c r="C115" s="719"/>
      <c r="D115" s="632"/>
      <c r="E115" s="1143"/>
      <c r="F115" s="1415" t="s">
        <v>2608</v>
      </c>
      <c r="G115" s="2188">
        <v>100000</v>
      </c>
      <c r="H115" s="659" t="s">
        <v>21</v>
      </c>
      <c r="I115" s="2392">
        <v>3</v>
      </c>
      <c r="J115" s="2522"/>
      <c r="K115" s="2522"/>
      <c r="L115" s="2523"/>
      <c r="M115" s="2522"/>
      <c r="N115" s="701"/>
      <c r="O115" s="701" t="s">
        <v>22</v>
      </c>
      <c r="P115" s="882">
        <f>ROUNDUP(G115*I115,-3)</f>
        <v>300000</v>
      </c>
      <c r="Q115" s="694"/>
      <c r="R115" s="694"/>
      <c r="S115" s="695"/>
      <c r="T115" s="696"/>
    </row>
    <row r="116" spans="1:20" ht="15" customHeight="1">
      <c r="A116" s="617"/>
      <c r="B116" s="632"/>
      <c r="C116" s="719"/>
      <c r="D116" s="632"/>
      <c r="E116" s="1143"/>
      <c r="F116" s="1415" t="s">
        <v>2609</v>
      </c>
      <c r="G116" s="2188">
        <v>350000</v>
      </c>
      <c r="H116" s="659" t="s">
        <v>21</v>
      </c>
      <c r="I116" s="2392">
        <v>2</v>
      </c>
      <c r="J116" s="2522"/>
      <c r="K116" s="2522"/>
      <c r="L116" s="2523"/>
      <c r="M116" s="2522"/>
      <c r="N116" s="701"/>
      <c r="O116" s="701" t="s">
        <v>22</v>
      </c>
      <c r="P116" s="882">
        <f>ROUNDUP(G116*I116,-3)</f>
        <v>700000</v>
      </c>
      <c r="Q116" s="694"/>
      <c r="R116" s="694"/>
      <c r="S116" s="695"/>
      <c r="T116" s="696"/>
    </row>
    <row r="117" spans="1:20" ht="15" customHeight="1">
      <c r="A117" s="617"/>
      <c r="B117" s="632"/>
      <c r="C117" s="719"/>
      <c r="D117" s="632"/>
      <c r="E117" s="1143"/>
      <c r="F117" s="1543" t="s">
        <v>2316</v>
      </c>
      <c r="G117" s="702"/>
      <c r="H117" s="2522"/>
      <c r="I117" s="2522"/>
      <c r="J117" s="2522"/>
      <c r="K117" s="2522"/>
      <c r="L117" s="2523"/>
      <c r="M117" s="2522"/>
      <c r="N117" s="701"/>
      <c r="O117" s="701"/>
      <c r="P117" s="1513">
        <f>SUM(P118:P120)</f>
        <v>1000000</v>
      </c>
      <c r="Q117" s="694"/>
      <c r="R117" s="694"/>
      <c r="S117" s="695"/>
      <c r="T117" s="696"/>
    </row>
    <row r="118" spans="1:20" ht="15" customHeight="1">
      <c r="A118" s="617"/>
      <c r="B118" s="632"/>
      <c r="C118" s="719"/>
      <c r="D118" s="632"/>
      <c r="E118" s="1143"/>
      <c r="F118" s="1415" t="s">
        <v>2610</v>
      </c>
      <c r="G118" s="2188">
        <v>500000</v>
      </c>
      <c r="H118" s="659" t="s">
        <v>21</v>
      </c>
      <c r="I118" s="2393">
        <v>1</v>
      </c>
      <c r="J118" s="2522"/>
      <c r="K118" s="2522"/>
      <c r="L118" s="2523"/>
      <c r="M118" s="2522"/>
      <c r="N118" s="701"/>
      <c r="O118" s="701" t="s">
        <v>22</v>
      </c>
      <c r="P118" s="882">
        <f>ROUNDUP(G118*I118,-3)</f>
        <v>500000</v>
      </c>
      <c r="Q118" s="694"/>
      <c r="R118" s="694"/>
      <c r="S118" s="695"/>
      <c r="T118" s="696"/>
    </row>
    <row r="119" spans="1:20" ht="15" customHeight="1">
      <c r="A119" s="617"/>
      <c r="B119" s="632"/>
      <c r="C119" s="719"/>
      <c r="D119" s="632"/>
      <c r="E119" s="1143"/>
      <c r="F119" s="1415" t="s">
        <v>2611</v>
      </c>
      <c r="G119" s="2188">
        <v>200000</v>
      </c>
      <c r="H119" s="659" t="s">
        <v>21</v>
      </c>
      <c r="I119" s="2393">
        <v>1</v>
      </c>
      <c r="J119" s="2522"/>
      <c r="K119" s="2522"/>
      <c r="L119" s="2523"/>
      <c r="M119" s="2522"/>
      <c r="N119" s="701"/>
      <c r="O119" s="701" t="s">
        <v>22</v>
      </c>
      <c r="P119" s="882">
        <f>ROUNDUP(G119*I119,-3)</f>
        <v>200000</v>
      </c>
      <c r="Q119" s="694"/>
      <c r="R119" s="694"/>
      <c r="S119" s="695"/>
      <c r="T119" s="696"/>
    </row>
    <row r="120" spans="1:20" ht="15" customHeight="1">
      <c r="A120" s="617"/>
      <c r="B120" s="632"/>
      <c r="C120" s="719"/>
      <c r="D120" s="632"/>
      <c r="E120" s="1143"/>
      <c r="F120" s="1415" t="s">
        <v>2612</v>
      </c>
      <c r="G120" s="2188">
        <v>300000</v>
      </c>
      <c r="H120" s="659" t="s">
        <v>21</v>
      </c>
      <c r="I120" s="2393">
        <v>1</v>
      </c>
      <c r="J120" s="2522"/>
      <c r="K120" s="2522"/>
      <c r="L120" s="2523"/>
      <c r="M120" s="2522"/>
      <c r="N120" s="701"/>
      <c r="O120" s="701" t="s">
        <v>22</v>
      </c>
      <c r="P120" s="882">
        <f>ROUNDUP(G120*I120,-3)</f>
        <v>300000</v>
      </c>
      <c r="Q120" s="694"/>
      <c r="R120" s="694"/>
      <c r="S120" s="695"/>
      <c r="T120" s="696"/>
    </row>
    <row r="121" spans="1:20" ht="15" customHeight="1">
      <c r="A121" s="617"/>
      <c r="B121" s="632"/>
      <c r="C121" s="719"/>
      <c r="D121" s="632"/>
      <c r="E121" s="1143"/>
      <c r="F121" s="1543" t="s">
        <v>1360</v>
      </c>
      <c r="G121" s="702"/>
      <c r="H121" s="2522"/>
      <c r="I121" s="2522"/>
      <c r="J121" s="2522"/>
      <c r="K121" s="2522"/>
      <c r="L121" s="2523"/>
      <c r="M121" s="2522"/>
      <c r="N121" s="701"/>
      <c r="O121" s="701"/>
      <c r="P121" s="1513">
        <f>SUM(P122:P124)</f>
        <v>3000000</v>
      </c>
      <c r="Q121" s="694"/>
      <c r="R121" s="694"/>
      <c r="S121" s="695"/>
      <c r="T121" s="696"/>
    </row>
    <row r="122" spans="1:20" ht="15" customHeight="1">
      <c r="A122" s="617"/>
      <c r="B122" s="632"/>
      <c r="C122" s="719"/>
      <c r="D122" s="632"/>
      <c r="E122" s="1143"/>
      <c r="F122" s="1415" t="s">
        <v>2613</v>
      </c>
      <c r="G122" s="2188">
        <v>1000000</v>
      </c>
      <c r="H122" s="659" t="s">
        <v>21</v>
      </c>
      <c r="I122" s="2393">
        <v>1</v>
      </c>
      <c r="J122" s="2522"/>
      <c r="K122" s="2522"/>
      <c r="L122" s="2523"/>
      <c r="M122" s="2522"/>
      <c r="N122" s="701"/>
      <c r="O122" s="701" t="s">
        <v>22</v>
      </c>
      <c r="P122" s="882">
        <f>ROUNDUP(G122*I122,-3)</f>
        <v>1000000</v>
      </c>
      <c r="Q122" s="694"/>
      <c r="R122" s="694"/>
      <c r="S122" s="695"/>
      <c r="T122" s="696"/>
    </row>
    <row r="123" spans="1:20" ht="15" customHeight="1">
      <c r="A123" s="617"/>
      <c r="B123" s="632"/>
      <c r="C123" s="719"/>
      <c r="D123" s="632"/>
      <c r="E123" s="1143"/>
      <c r="F123" s="1415" t="s">
        <v>2614</v>
      </c>
      <c r="G123" s="2188">
        <v>1500000</v>
      </c>
      <c r="H123" s="659" t="s">
        <v>21</v>
      </c>
      <c r="I123" s="2393">
        <v>1</v>
      </c>
      <c r="J123" s="2522"/>
      <c r="K123" s="2522"/>
      <c r="L123" s="2523"/>
      <c r="M123" s="2522"/>
      <c r="N123" s="701"/>
      <c r="O123" s="701" t="s">
        <v>22</v>
      </c>
      <c r="P123" s="882">
        <f>ROUNDUP(G123*I123,-3)</f>
        <v>1500000</v>
      </c>
      <c r="Q123" s="694"/>
      <c r="R123" s="694"/>
      <c r="S123" s="695"/>
      <c r="T123" s="696"/>
    </row>
    <row r="124" spans="1:20" ht="15" customHeight="1">
      <c r="A124" s="617"/>
      <c r="B124" s="632"/>
      <c r="C124" s="719"/>
      <c r="D124" s="632"/>
      <c r="E124" s="1143"/>
      <c r="F124" s="1415" t="s">
        <v>2615</v>
      </c>
      <c r="G124" s="2188">
        <v>500000</v>
      </c>
      <c r="H124" s="659" t="s">
        <v>21</v>
      </c>
      <c r="I124" s="2393">
        <v>1</v>
      </c>
      <c r="J124" s="2522"/>
      <c r="K124" s="2522"/>
      <c r="L124" s="2523"/>
      <c r="M124" s="2522"/>
      <c r="N124" s="701"/>
      <c r="O124" s="701" t="s">
        <v>22</v>
      </c>
      <c r="P124" s="882">
        <f>ROUNDUP(G124*I124,-3)</f>
        <v>500000</v>
      </c>
      <c r="Q124" s="694"/>
      <c r="R124" s="694"/>
      <c r="S124" s="695"/>
      <c r="T124" s="696"/>
    </row>
    <row r="125" spans="1:20" ht="15" customHeight="1">
      <c r="A125" s="617"/>
      <c r="B125" s="632"/>
      <c r="C125" s="719"/>
      <c r="D125" s="632"/>
      <c r="E125" s="1143"/>
      <c r="F125" s="1507" t="s">
        <v>1361</v>
      </c>
      <c r="G125" s="686"/>
      <c r="H125" s="679"/>
      <c r="I125" s="679"/>
      <c r="J125" s="679"/>
      <c r="K125" s="679"/>
      <c r="L125" s="1508"/>
      <c r="M125" s="679"/>
      <c r="N125" s="687"/>
      <c r="O125" s="687"/>
      <c r="P125" s="681">
        <f>SUM(P126:P126)</f>
        <v>400000</v>
      </c>
      <c r="Q125" s="653">
        <f>P125</f>
        <v>400000</v>
      </c>
      <c r="R125" s="653">
        <v>800000</v>
      </c>
      <c r="S125" s="654">
        <f t="shared" ref="S125" si="43">Q125-R125</f>
        <v>-400000</v>
      </c>
      <c r="T125" s="655">
        <f t="shared" ref="T125" si="44">S125/R125</f>
        <v>-0.5</v>
      </c>
    </row>
    <row r="126" spans="1:20" ht="15" customHeight="1">
      <c r="A126" s="617"/>
      <c r="B126" s="632"/>
      <c r="C126" s="719"/>
      <c r="D126" s="632"/>
      <c r="E126" s="1143"/>
      <c r="F126" s="1511" t="s">
        <v>2616</v>
      </c>
      <c r="G126" s="702">
        <v>200000</v>
      </c>
      <c r="H126" s="2522" t="s">
        <v>21</v>
      </c>
      <c r="I126" s="877">
        <v>2</v>
      </c>
      <c r="J126" s="2522"/>
      <c r="K126" s="2522"/>
      <c r="L126" s="2523"/>
      <c r="M126" s="2522"/>
      <c r="N126" s="701"/>
      <c r="O126" s="701" t="s">
        <v>22</v>
      </c>
      <c r="P126" s="882">
        <f>ROUNDUP(G126*I126,-3)</f>
        <v>400000</v>
      </c>
      <c r="Q126" s="694"/>
      <c r="R126" s="694"/>
      <c r="S126" s="695"/>
      <c r="T126" s="696"/>
    </row>
    <row r="127" spans="1:20" ht="15" customHeight="1">
      <c r="A127" s="617"/>
      <c r="B127" s="632"/>
      <c r="C127" s="719"/>
      <c r="D127" s="632"/>
      <c r="E127" s="1143"/>
      <c r="F127" s="1507" t="s">
        <v>1362</v>
      </c>
      <c r="G127" s="686"/>
      <c r="H127" s="679"/>
      <c r="I127" s="679"/>
      <c r="J127" s="679"/>
      <c r="K127" s="679"/>
      <c r="L127" s="1508"/>
      <c r="M127" s="679"/>
      <c r="N127" s="687"/>
      <c r="O127" s="687"/>
      <c r="P127" s="681">
        <f>SUM(P128:P131)</f>
        <v>1000000</v>
      </c>
      <c r="Q127" s="653">
        <f>P127</f>
        <v>1000000</v>
      </c>
      <c r="R127" s="653">
        <v>1000000</v>
      </c>
      <c r="S127" s="654">
        <f t="shared" ref="S127" si="45">Q127-R127</f>
        <v>0</v>
      </c>
      <c r="T127" s="655">
        <f t="shared" ref="T127" si="46">S127/R127</f>
        <v>0</v>
      </c>
    </row>
    <row r="128" spans="1:20" ht="15" customHeight="1">
      <c r="A128" s="617"/>
      <c r="B128" s="632"/>
      <c r="C128" s="719"/>
      <c r="D128" s="632"/>
      <c r="E128" s="1143"/>
      <c r="F128" s="1511" t="s">
        <v>2617</v>
      </c>
      <c r="G128" s="1552">
        <v>200000</v>
      </c>
      <c r="H128" s="1168" t="s">
        <v>21</v>
      </c>
      <c r="I128" s="2361">
        <v>1</v>
      </c>
      <c r="J128" s="2522"/>
      <c r="K128" s="2522"/>
      <c r="L128" s="2523"/>
      <c r="M128" s="2522"/>
      <c r="N128" s="701"/>
      <c r="O128" s="701" t="s">
        <v>22</v>
      </c>
      <c r="P128" s="882">
        <f>ROUNDUP(G128*I128,-3)</f>
        <v>200000</v>
      </c>
      <c r="Q128" s="694"/>
      <c r="R128" s="694"/>
      <c r="S128" s="695"/>
      <c r="T128" s="696"/>
    </row>
    <row r="129" spans="1:20" ht="15" customHeight="1">
      <c r="A129" s="617"/>
      <c r="B129" s="632"/>
      <c r="C129" s="719"/>
      <c r="D129" s="632"/>
      <c r="E129" s="1143"/>
      <c r="F129" s="1511" t="s">
        <v>2618</v>
      </c>
      <c r="G129" s="1552">
        <v>500000</v>
      </c>
      <c r="H129" s="1168" t="s">
        <v>21</v>
      </c>
      <c r="I129" s="1553">
        <v>1</v>
      </c>
      <c r="J129" s="2522"/>
      <c r="K129" s="2522"/>
      <c r="L129" s="2523"/>
      <c r="M129" s="2522"/>
      <c r="N129" s="701"/>
      <c r="O129" s="701" t="s">
        <v>22</v>
      </c>
      <c r="P129" s="882">
        <f>ROUNDUP(G129*I129,-3)</f>
        <v>500000</v>
      </c>
      <c r="Q129" s="694"/>
      <c r="R129" s="694"/>
      <c r="S129" s="695"/>
      <c r="T129" s="696"/>
    </row>
    <row r="130" spans="1:20" ht="15" customHeight="1">
      <c r="A130" s="617"/>
      <c r="B130" s="632"/>
      <c r="C130" s="719"/>
      <c r="D130" s="632"/>
      <c r="E130" s="1143"/>
      <c r="F130" s="1511" t="s">
        <v>2619</v>
      </c>
      <c r="G130" s="1552">
        <v>3000</v>
      </c>
      <c r="H130" s="1168" t="s">
        <v>21</v>
      </c>
      <c r="I130" s="2361">
        <v>40</v>
      </c>
      <c r="J130" s="2522"/>
      <c r="K130" s="2522"/>
      <c r="L130" s="2523"/>
      <c r="M130" s="2522"/>
      <c r="N130" s="701"/>
      <c r="O130" s="701" t="s">
        <v>22</v>
      </c>
      <c r="P130" s="882">
        <f>ROUNDUP(G130*I130,-3)</f>
        <v>120000</v>
      </c>
      <c r="Q130" s="694"/>
      <c r="R130" s="694"/>
      <c r="S130" s="695"/>
      <c r="T130" s="696"/>
    </row>
    <row r="131" spans="1:20" ht="15" customHeight="1">
      <c r="A131" s="617"/>
      <c r="B131" s="632"/>
      <c r="C131" s="719"/>
      <c r="D131" s="632"/>
      <c r="E131" s="1143"/>
      <c r="F131" s="1511" t="s">
        <v>2620</v>
      </c>
      <c r="G131" s="1552">
        <v>180000</v>
      </c>
      <c r="H131" s="1168" t="s">
        <v>21</v>
      </c>
      <c r="I131" s="1553">
        <v>1</v>
      </c>
      <c r="J131" s="2522"/>
      <c r="K131" s="2522"/>
      <c r="L131" s="2523"/>
      <c r="M131" s="2522"/>
      <c r="N131" s="701"/>
      <c r="O131" s="701" t="s">
        <v>22</v>
      </c>
      <c r="P131" s="882">
        <f>ROUNDUP(G131*I131,-3)</f>
        <v>180000</v>
      </c>
      <c r="Q131" s="694"/>
      <c r="R131" s="694"/>
      <c r="S131" s="695"/>
      <c r="T131" s="696"/>
    </row>
    <row r="132" spans="1:20" ht="15" customHeight="1">
      <c r="A132" s="617"/>
      <c r="B132" s="632"/>
      <c r="C132" s="719"/>
      <c r="D132" s="632"/>
      <c r="E132" s="1143"/>
      <c r="F132" s="1507" t="s">
        <v>1363</v>
      </c>
      <c r="G132" s="686"/>
      <c r="H132" s="679"/>
      <c r="I132" s="679"/>
      <c r="J132" s="679"/>
      <c r="K132" s="679"/>
      <c r="L132" s="1508"/>
      <c r="M132" s="679"/>
      <c r="N132" s="687"/>
      <c r="O132" s="687"/>
      <c r="P132" s="681">
        <f>SUM(P133:P134)</f>
        <v>1000000</v>
      </c>
      <c r="Q132" s="653">
        <f>P132</f>
        <v>1000000</v>
      </c>
      <c r="R132" s="653">
        <v>0</v>
      </c>
      <c r="S132" s="654">
        <f t="shared" ref="S132" si="47">Q132-R132</f>
        <v>1000000</v>
      </c>
      <c r="T132" s="688"/>
    </row>
    <row r="133" spans="1:20" ht="15" customHeight="1">
      <c r="A133" s="617"/>
      <c r="B133" s="632"/>
      <c r="C133" s="719"/>
      <c r="D133" s="632"/>
      <c r="E133" s="1143"/>
      <c r="F133" s="1511" t="s">
        <v>2621</v>
      </c>
      <c r="G133" s="1552">
        <v>100000</v>
      </c>
      <c r="H133" s="1168" t="s">
        <v>21</v>
      </c>
      <c r="I133" s="2291">
        <v>3</v>
      </c>
      <c r="J133" s="2522"/>
      <c r="K133" s="2522"/>
      <c r="L133" s="2523"/>
      <c r="M133" s="2522"/>
      <c r="N133" s="701"/>
      <c r="O133" s="701" t="s">
        <v>22</v>
      </c>
      <c r="P133" s="882">
        <f>ROUNDUP(G133*I133,-3)</f>
        <v>300000</v>
      </c>
      <c r="Q133" s="694"/>
      <c r="R133" s="694"/>
      <c r="S133" s="695"/>
      <c r="T133" s="696"/>
    </row>
    <row r="134" spans="1:20" ht="15" customHeight="1">
      <c r="A134" s="617"/>
      <c r="B134" s="632"/>
      <c r="C134" s="719"/>
      <c r="D134" s="632"/>
      <c r="E134" s="1143"/>
      <c r="F134" s="1511" t="s">
        <v>2622</v>
      </c>
      <c r="G134" s="1552">
        <v>100000</v>
      </c>
      <c r="H134" s="1168" t="s">
        <v>21</v>
      </c>
      <c r="I134" s="2291">
        <v>7</v>
      </c>
      <c r="J134" s="2522"/>
      <c r="K134" s="2522"/>
      <c r="L134" s="2523"/>
      <c r="M134" s="2522"/>
      <c r="N134" s="701"/>
      <c r="O134" s="701" t="s">
        <v>22</v>
      </c>
      <c r="P134" s="882">
        <f>ROUNDUP(G134*I134,-3)</f>
        <v>700000</v>
      </c>
      <c r="Q134" s="694"/>
      <c r="R134" s="694"/>
      <c r="S134" s="695"/>
      <c r="T134" s="696"/>
    </row>
    <row r="135" spans="1:20" ht="15" customHeight="1">
      <c r="A135" s="617"/>
      <c r="B135" s="632"/>
      <c r="C135" s="719"/>
      <c r="D135" s="632"/>
      <c r="E135" s="1143"/>
      <c r="F135" s="1507" t="s">
        <v>1364</v>
      </c>
      <c r="G135" s="686"/>
      <c r="H135" s="679"/>
      <c r="I135" s="679"/>
      <c r="J135" s="679"/>
      <c r="K135" s="679"/>
      <c r="L135" s="1508"/>
      <c r="M135" s="679"/>
      <c r="N135" s="687"/>
      <c r="O135" s="687"/>
      <c r="P135" s="681">
        <f>SUM(P136:P139)</f>
        <v>8000000</v>
      </c>
      <c r="Q135" s="653">
        <f>P135</f>
        <v>8000000</v>
      </c>
      <c r="R135" s="653">
        <v>0</v>
      </c>
      <c r="S135" s="654">
        <f t="shared" ref="S135" si="48">Q135-R135</f>
        <v>8000000</v>
      </c>
      <c r="T135" s="688"/>
    </row>
    <row r="136" spans="1:20" ht="15" customHeight="1">
      <c r="A136" s="617"/>
      <c r="B136" s="632"/>
      <c r="C136" s="719"/>
      <c r="D136" s="632"/>
      <c r="E136" s="1143"/>
      <c r="F136" s="1511" t="s">
        <v>2623</v>
      </c>
      <c r="G136" s="1552">
        <v>100000</v>
      </c>
      <c r="H136" s="1168" t="s">
        <v>21</v>
      </c>
      <c r="I136" s="2291">
        <v>10</v>
      </c>
      <c r="J136" s="2522"/>
      <c r="K136" s="2522"/>
      <c r="L136" s="2523"/>
      <c r="M136" s="2522"/>
      <c r="N136" s="701"/>
      <c r="O136" s="701" t="s">
        <v>22</v>
      </c>
      <c r="P136" s="882">
        <f>ROUNDUP(G136*I136,-3)</f>
        <v>1000000</v>
      </c>
      <c r="Q136" s="694"/>
      <c r="R136" s="694"/>
      <c r="S136" s="695"/>
      <c r="T136" s="696"/>
    </row>
    <row r="137" spans="1:20" ht="15" customHeight="1">
      <c r="A137" s="617"/>
      <c r="B137" s="632"/>
      <c r="C137" s="719"/>
      <c r="D137" s="632"/>
      <c r="E137" s="1143"/>
      <c r="F137" s="1511" t="s">
        <v>2624</v>
      </c>
      <c r="G137" s="1552">
        <v>312500</v>
      </c>
      <c r="H137" s="1168" t="s">
        <v>21</v>
      </c>
      <c r="I137" s="2291">
        <v>4</v>
      </c>
      <c r="J137" s="2522"/>
      <c r="K137" s="2522"/>
      <c r="L137" s="2523"/>
      <c r="M137" s="2522"/>
      <c r="N137" s="701"/>
      <c r="O137" s="701" t="s">
        <v>22</v>
      </c>
      <c r="P137" s="882">
        <f>ROUNDUP(G137*I137,-3)</f>
        <v>1250000</v>
      </c>
      <c r="Q137" s="694"/>
      <c r="R137" s="694"/>
      <c r="S137" s="695"/>
      <c r="T137" s="696"/>
    </row>
    <row r="138" spans="1:20" ht="15" customHeight="1">
      <c r="A138" s="617"/>
      <c r="B138" s="632"/>
      <c r="C138" s="719"/>
      <c r="D138" s="632"/>
      <c r="E138" s="1143"/>
      <c r="F138" s="1511" t="s">
        <v>2625</v>
      </c>
      <c r="G138" s="1552">
        <v>500000</v>
      </c>
      <c r="H138" s="1168" t="s">
        <v>21</v>
      </c>
      <c r="I138" s="2361">
        <v>10</v>
      </c>
      <c r="J138" s="2522"/>
      <c r="K138" s="2522"/>
      <c r="L138" s="2523"/>
      <c r="M138" s="2522"/>
      <c r="N138" s="701"/>
      <c r="O138" s="701" t="s">
        <v>22</v>
      </c>
      <c r="P138" s="882">
        <f>ROUNDUP(G138*I138,-3)</f>
        <v>5000000</v>
      </c>
      <c r="Q138" s="694"/>
      <c r="R138" s="694"/>
      <c r="S138" s="695"/>
      <c r="T138" s="696"/>
    </row>
    <row r="139" spans="1:20" ht="15" customHeight="1">
      <c r="A139" s="617"/>
      <c r="B139" s="632"/>
      <c r="C139" s="719"/>
      <c r="D139" s="632"/>
      <c r="E139" s="1143"/>
      <c r="F139" s="1511" t="s">
        <v>2626</v>
      </c>
      <c r="G139" s="1552">
        <v>250000</v>
      </c>
      <c r="H139" s="1168" t="s">
        <v>21</v>
      </c>
      <c r="I139" s="2291">
        <v>3</v>
      </c>
      <c r="J139" s="2522"/>
      <c r="K139" s="2522"/>
      <c r="L139" s="2523"/>
      <c r="M139" s="2522"/>
      <c r="N139" s="701"/>
      <c r="O139" s="701" t="s">
        <v>22</v>
      </c>
      <c r="P139" s="882">
        <f>ROUNDUP(G139*I139,-3)</f>
        <v>750000</v>
      </c>
      <c r="Q139" s="694"/>
      <c r="R139" s="694"/>
      <c r="S139" s="695"/>
      <c r="T139" s="696"/>
    </row>
    <row r="140" spans="1:20" ht="15" customHeight="1">
      <c r="A140" s="617"/>
      <c r="B140" s="632"/>
      <c r="C140" s="719"/>
      <c r="D140" s="632"/>
      <c r="E140" s="1143"/>
      <c r="F140" s="1507" t="s">
        <v>1365</v>
      </c>
      <c r="G140" s="686"/>
      <c r="H140" s="679"/>
      <c r="I140" s="679"/>
      <c r="J140" s="679"/>
      <c r="K140" s="679"/>
      <c r="L140" s="1508"/>
      <c r="M140" s="679"/>
      <c r="N140" s="687"/>
      <c r="O140" s="687"/>
      <c r="P140" s="681">
        <f>SUM(P141:P145)</f>
        <v>4400000</v>
      </c>
      <c r="Q140" s="653">
        <f>P140</f>
        <v>4400000</v>
      </c>
      <c r="R140" s="653">
        <v>4300000</v>
      </c>
      <c r="S140" s="654">
        <f t="shared" ref="S140" si="49">Q140-R140</f>
        <v>100000</v>
      </c>
      <c r="T140" s="655">
        <f t="shared" ref="T140" si="50">S140/R140</f>
        <v>2.3255813953488372E-2</v>
      </c>
    </row>
    <row r="141" spans="1:20" ht="15" customHeight="1">
      <c r="A141" s="617"/>
      <c r="B141" s="632"/>
      <c r="C141" s="719"/>
      <c r="D141" s="632"/>
      <c r="E141" s="1143"/>
      <c r="F141" s="1511" t="s">
        <v>2627</v>
      </c>
      <c r="G141" s="1552">
        <v>135000</v>
      </c>
      <c r="H141" s="1168" t="s">
        <v>21</v>
      </c>
      <c r="I141" s="1553">
        <v>1</v>
      </c>
      <c r="J141" s="2522"/>
      <c r="K141" s="2522"/>
      <c r="L141" s="2523"/>
      <c r="M141" s="2522"/>
      <c r="N141" s="701"/>
      <c r="O141" s="701" t="s">
        <v>22</v>
      </c>
      <c r="P141" s="882">
        <f>ROUNDUP(G141*I141,-3)</f>
        <v>135000</v>
      </c>
      <c r="Q141" s="694"/>
      <c r="R141" s="694"/>
      <c r="S141" s="695"/>
      <c r="T141" s="696"/>
    </row>
    <row r="142" spans="1:20" ht="15" customHeight="1">
      <c r="A142" s="617"/>
      <c r="B142" s="632"/>
      <c r="C142" s="719"/>
      <c r="D142" s="632"/>
      <c r="E142" s="1143"/>
      <c r="F142" s="1511" t="s">
        <v>2628</v>
      </c>
      <c r="G142" s="1552">
        <v>20000</v>
      </c>
      <c r="H142" s="1168" t="s">
        <v>21</v>
      </c>
      <c r="I142" s="2361">
        <v>45</v>
      </c>
      <c r="J142" s="2522"/>
      <c r="K142" s="2522"/>
      <c r="L142" s="2523"/>
      <c r="M142" s="2522"/>
      <c r="N142" s="701"/>
      <c r="O142" s="701" t="s">
        <v>22</v>
      </c>
      <c r="P142" s="882">
        <f>ROUNDUP(G142*I142,-3)</f>
        <v>900000</v>
      </c>
      <c r="Q142" s="694"/>
      <c r="R142" s="694"/>
      <c r="S142" s="695"/>
      <c r="T142" s="696"/>
    </row>
    <row r="143" spans="1:20" ht="15" customHeight="1">
      <c r="A143" s="617"/>
      <c r="B143" s="632"/>
      <c r="C143" s="719"/>
      <c r="D143" s="632"/>
      <c r="E143" s="1143"/>
      <c r="F143" s="1511" t="s">
        <v>2629</v>
      </c>
      <c r="G143" s="1552">
        <v>450000</v>
      </c>
      <c r="H143" s="1168" t="s">
        <v>21</v>
      </c>
      <c r="I143" s="1553">
        <v>1</v>
      </c>
      <c r="J143" s="2522"/>
      <c r="K143" s="2522"/>
      <c r="L143" s="2523"/>
      <c r="M143" s="2522"/>
      <c r="N143" s="701"/>
      <c r="O143" s="701" t="s">
        <v>22</v>
      </c>
      <c r="P143" s="882">
        <f>ROUNDUP(G143*I143,-3)</f>
        <v>450000</v>
      </c>
      <c r="Q143" s="694"/>
      <c r="R143" s="694"/>
      <c r="S143" s="695"/>
      <c r="T143" s="696"/>
    </row>
    <row r="144" spans="1:20" ht="15" customHeight="1">
      <c r="A144" s="617"/>
      <c r="B144" s="632"/>
      <c r="C144" s="719"/>
      <c r="D144" s="632"/>
      <c r="E144" s="1143"/>
      <c r="F144" s="1511" t="s">
        <v>2630</v>
      </c>
      <c r="G144" s="1552">
        <v>1392500</v>
      </c>
      <c r="H144" s="1168" t="s">
        <v>21</v>
      </c>
      <c r="I144" s="2369">
        <v>2</v>
      </c>
      <c r="J144" s="2522"/>
      <c r="K144" s="2522"/>
      <c r="L144" s="2523"/>
      <c r="M144" s="2522"/>
      <c r="N144" s="701"/>
      <c r="O144" s="701" t="s">
        <v>22</v>
      </c>
      <c r="P144" s="882">
        <f>ROUNDUP(G144*I144,-3)</f>
        <v>2785000</v>
      </c>
      <c r="Q144" s="694"/>
      <c r="R144" s="694"/>
      <c r="S144" s="695"/>
      <c r="T144" s="696"/>
    </row>
    <row r="145" spans="1:20" ht="15" customHeight="1">
      <c r="A145" s="617"/>
      <c r="B145" s="632"/>
      <c r="C145" s="719"/>
      <c r="D145" s="632"/>
      <c r="E145" s="1143"/>
      <c r="F145" s="1511" t="s">
        <v>2631</v>
      </c>
      <c r="G145" s="1552">
        <v>130000</v>
      </c>
      <c r="H145" s="1168" t="s">
        <v>21</v>
      </c>
      <c r="I145" s="1553">
        <v>1</v>
      </c>
      <c r="J145" s="2522"/>
      <c r="K145" s="2522"/>
      <c r="L145" s="2523"/>
      <c r="M145" s="2522"/>
      <c r="N145" s="701"/>
      <c r="O145" s="701" t="s">
        <v>22</v>
      </c>
      <c r="P145" s="882">
        <f>ROUNDUP(G145*I145,-3)</f>
        <v>130000</v>
      </c>
      <c r="Q145" s="694"/>
      <c r="R145" s="694"/>
      <c r="S145" s="695"/>
      <c r="T145" s="696"/>
    </row>
    <row r="146" spans="1:20" ht="15" customHeight="1">
      <c r="A146" s="759"/>
      <c r="B146" s="703"/>
      <c r="C146" s="619"/>
      <c r="D146" s="703"/>
      <c r="E146" s="3318"/>
      <c r="F146" s="1574" t="s">
        <v>1366</v>
      </c>
      <c r="G146" s="1575"/>
      <c r="H146" s="1576"/>
      <c r="I146" s="1576"/>
      <c r="J146" s="1576"/>
      <c r="K146" s="1576"/>
      <c r="L146" s="1577"/>
      <c r="M146" s="1576"/>
      <c r="N146" s="1578"/>
      <c r="O146" s="1578"/>
      <c r="P146" s="1579">
        <f>SUM(P147:P150)</f>
        <v>1500000</v>
      </c>
      <c r="Q146" s="683">
        <f>P146</f>
        <v>1500000</v>
      </c>
      <c r="R146" s="683">
        <v>0</v>
      </c>
      <c r="S146" s="1489">
        <f t="shared" ref="S146" si="51">Q146-R146</f>
        <v>1500000</v>
      </c>
      <c r="T146" s="3513"/>
    </row>
    <row r="147" spans="1:20" ht="15" customHeight="1">
      <c r="A147" s="617"/>
      <c r="B147" s="632"/>
      <c r="C147" s="719"/>
      <c r="D147" s="632"/>
      <c r="E147" s="1143"/>
      <c r="F147" s="1415" t="s">
        <v>2632</v>
      </c>
      <c r="G147" s="2188">
        <v>800000</v>
      </c>
      <c r="H147" s="659" t="s">
        <v>21</v>
      </c>
      <c r="I147" s="2393">
        <v>1</v>
      </c>
      <c r="J147" s="659"/>
      <c r="K147" s="659"/>
      <c r="L147" s="2523"/>
      <c r="M147" s="2522"/>
      <c r="N147" s="701"/>
      <c r="O147" s="701" t="s">
        <v>22</v>
      </c>
      <c r="P147" s="882">
        <f>ROUNDUP(G147*I147,-3)</f>
        <v>800000</v>
      </c>
      <c r="Q147" s="694"/>
      <c r="R147" s="694"/>
      <c r="S147" s="695"/>
      <c r="T147" s="696"/>
    </row>
    <row r="148" spans="1:20" ht="15" customHeight="1">
      <c r="A148" s="617"/>
      <c r="B148" s="632"/>
      <c r="C148" s="719"/>
      <c r="D148" s="632"/>
      <c r="E148" s="1143"/>
      <c r="F148" s="1415" t="s">
        <v>2633</v>
      </c>
      <c r="G148" s="2188">
        <v>7000</v>
      </c>
      <c r="H148" s="659" t="s">
        <v>21</v>
      </c>
      <c r="I148" s="2394">
        <v>15</v>
      </c>
      <c r="J148" s="659" t="s">
        <v>21</v>
      </c>
      <c r="K148" s="2392">
        <v>3</v>
      </c>
      <c r="L148" s="2523"/>
      <c r="M148" s="2522"/>
      <c r="N148" s="701"/>
      <c r="O148" s="701" t="s">
        <v>22</v>
      </c>
      <c r="P148" s="882">
        <f>ROUNDUP(G148*I148*K148,-3)</f>
        <v>315000</v>
      </c>
      <c r="Q148" s="694"/>
      <c r="R148" s="694"/>
      <c r="S148" s="695"/>
      <c r="T148" s="696"/>
    </row>
    <row r="149" spans="1:20" ht="15" customHeight="1">
      <c r="A149" s="617"/>
      <c r="B149" s="632"/>
      <c r="C149" s="719"/>
      <c r="D149" s="632"/>
      <c r="E149" s="1143"/>
      <c r="F149" s="1415" t="s">
        <v>2634</v>
      </c>
      <c r="G149" s="2188">
        <v>110000</v>
      </c>
      <c r="H149" s="659" t="s">
        <v>21</v>
      </c>
      <c r="I149" s="2393">
        <v>1</v>
      </c>
      <c r="J149" s="659"/>
      <c r="K149" s="659"/>
      <c r="L149" s="2523"/>
      <c r="M149" s="2522"/>
      <c r="N149" s="701"/>
      <c r="O149" s="701" t="s">
        <v>22</v>
      </c>
      <c r="P149" s="882">
        <f>ROUNDUP(G149*I149,-3)</f>
        <v>110000</v>
      </c>
      <c r="Q149" s="694"/>
      <c r="R149" s="694"/>
      <c r="S149" s="695"/>
      <c r="T149" s="696"/>
    </row>
    <row r="150" spans="1:20" ht="15" customHeight="1">
      <c r="A150" s="617"/>
      <c r="B150" s="632"/>
      <c r="C150" s="719"/>
      <c r="D150" s="632"/>
      <c r="E150" s="1143"/>
      <c r="F150" s="1415" t="s">
        <v>2635</v>
      </c>
      <c r="G150" s="2188">
        <v>275000</v>
      </c>
      <c r="H150" s="659" t="s">
        <v>21</v>
      </c>
      <c r="I150" s="2393">
        <v>1</v>
      </c>
      <c r="J150" s="659"/>
      <c r="K150" s="659"/>
      <c r="L150" s="2523"/>
      <c r="M150" s="2522"/>
      <c r="N150" s="701"/>
      <c r="O150" s="701" t="s">
        <v>22</v>
      </c>
      <c r="P150" s="882">
        <f>ROUNDUP(G150*I150,-3)</f>
        <v>275000</v>
      </c>
      <c r="Q150" s="694"/>
      <c r="R150" s="694"/>
      <c r="S150" s="695"/>
      <c r="T150" s="696"/>
    </row>
    <row r="151" spans="1:20" ht="15" customHeight="1">
      <c r="A151" s="617"/>
      <c r="B151" s="632"/>
      <c r="C151" s="719"/>
      <c r="D151" s="632"/>
      <c r="E151" s="1143"/>
      <c r="F151" s="1507" t="s">
        <v>1367</v>
      </c>
      <c r="G151" s="686"/>
      <c r="H151" s="679"/>
      <c r="I151" s="679"/>
      <c r="J151" s="679"/>
      <c r="K151" s="679"/>
      <c r="L151" s="1508"/>
      <c r="M151" s="679"/>
      <c r="N151" s="687"/>
      <c r="O151" s="687"/>
      <c r="P151" s="681">
        <f>SUM(P152:P156)</f>
        <v>4100000</v>
      </c>
      <c r="Q151" s="653">
        <f>P151</f>
        <v>4100000</v>
      </c>
      <c r="R151" s="653">
        <v>4100000</v>
      </c>
      <c r="S151" s="654">
        <f t="shared" ref="S151" si="52">Q151-R151</f>
        <v>0</v>
      </c>
      <c r="T151" s="688">
        <f t="shared" ref="T151" si="53">S151/R151</f>
        <v>0</v>
      </c>
    </row>
    <row r="152" spans="1:20" ht="15" customHeight="1">
      <c r="A152" s="617"/>
      <c r="B152" s="632"/>
      <c r="C152" s="719"/>
      <c r="D152" s="632"/>
      <c r="E152" s="1143"/>
      <c r="F152" s="1511" t="s">
        <v>2636</v>
      </c>
      <c r="G152" s="1552">
        <v>100000</v>
      </c>
      <c r="H152" s="1168" t="s">
        <v>21</v>
      </c>
      <c r="I152" s="1553">
        <v>1</v>
      </c>
      <c r="J152" s="2522"/>
      <c r="K152" s="2522"/>
      <c r="L152" s="2523"/>
      <c r="M152" s="2522"/>
      <c r="N152" s="701"/>
      <c r="O152" s="701" t="s">
        <v>22</v>
      </c>
      <c r="P152" s="882">
        <f>ROUNDUP(G152*I152,-3)</f>
        <v>100000</v>
      </c>
      <c r="Q152" s="694"/>
      <c r="R152" s="694"/>
      <c r="S152" s="695"/>
      <c r="T152" s="696"/>
    </row>
    <row r="153" spans="1:20" ht="15" customHeight="1">
      <c r="A153" s="617"/>
      <c r="B153" s="632"/>
      <c r="C153" s="719"/>
      <c r="D153" s="632"/>
      <c r="E153" s="1143"/>
      <c r="F153" s="1511" t="s">
        <v>2637</v>
      </c>
      <c r="G153" s="1552">
        <v>550000</v>
      </c>
      <c r="H153" s="1168" t="s">
        <v>21</v>
      </c>
      <c r="I153" s="1553">
        <v>1</v>
      </c>
      <c r="J153" s="2522"/>
      <c r="K153" s="2522"/>
      <c r="L153" s="2523"/>
      <c r="M153" s="2522"/>
      <c r="N153" s="701"/>
      <c r="O153" s="701" t="s">
        <v>22</v>
      </c>
      <c r="P153" s="882">
        <f>ROUNDUP(G153*I153,-3)</f>
        <v>550000</v>
      </c>
      <c r="Q153" s="694"/>
      <c r="R153" s="694"/>
      <c r="S153" s="695"/>
      <c r="T153" s="696"/>
    </row>
    <row r="154" spans="1:20" ht="15" customHeight="1">
      <c r="A154" s="617"/>
      <c r="B154" s="632"/>
      <c r="C154" s="719"/>
      <c r="D154" s="632"/>
      <c r="E154" s="1143"/>
      <c r="F154" s="1511" t="s">
        <v>2638</v>
      </c>
      <c r="G154" s="1552">
        <v>300000</v>
      </c>
      <c r="H154" s="1168" t="s">
        <v>21</v>
      </c>
      <c r="I154" s="1553">
        <v>1</v>
      </c>
      <c r="J154" s="2522"/>
      <c r="K154" s="2522"/>
      <c r="L154" s="2523"/>
      <c r="M154" s="2522"/>
      <c r="N154" s="701"/>
      <c r="O154" s="701" t="s">
        <v>22</v>
      </c>
      <c r="P154" s="882">
        <f>ROUNDUP(G154*I154,-3)</f>
        <v>300000</v>
      </c>
      <c r="Q154" s="694"/>
      <c r="R154" s="694"/>
      <c r="S154" s="695"/>
      <c r="T154" s="696"/>
    </row>
    <row r="155" spans="1:20" ht="15" customHeight="1">
      <c r="A155" s="617"/>
      <c r="B155" s="632"/>
      <c r="C155" s="719"/>
      <c r="D155" s="632"/>
      <c r="E155" s="1143"/>
      <c r="F155" s="1511" t="s">
        <v>2639</v>
      </c>
      <c r="G155" s="1552">
        <v>2995000</v>
      </c>
      <c r="H155" s="1168" t="s">
        <v>21</v>
      </c>
      <c r="I155" s="1553">
        <v>1</v>
      </c>
      <c r="J155" s="2522"/>
      <c r="K155" s="2522"/>
      <c r="L155" s="2523"/>
      <c r="M155" s="2522"/>
      <c r="N155" s="701"/>
      <c r="O155" s="701" t="s">
        <v>22</v>
      </c>
      <c r="P155" s="882">
        <f>ROUNDUP(G155*I155,-3)</f>
        <v>2995000</v>
      </c>
      <c r="Q155" s="694"/>
      <c r="R155" s="694"/>
      <c r="S155" s="695"/>
      <c r="T155" s="696"/>
    </row>
    <row r="156" spans="1:20" ht="15" customHeight="1">
      <c r="A156" s="617"/>
      <c r="B156" s="632"/>
      <c r="C156" s="719"/>
      <c r="D156" s="632"/>
      <c r="E156" s="1143"/>
      <c r="F156" s="1511" t="s">
        <v>2640</v>
      </c>
      <c r="G156" s="1552">
        <v>155000</v>
      </c>
      <c r="H156" s="1168" t="s">
        <v>21</v>
      </c>
      <c r="I156" s="1553">
        <v>1</v>
      </c>
      <c r="J156" s="2522"/>
      <c r="K156" s="2522"/>
      <c r="L156" s="2523"/>
      <c r="M156" s="2522"/>
      <c r="N156" s="701"/>
      <c r="O156" s="701" t="s">
        <v>22</v>
      </c>
      <c r="P156" s="882">
        <f>ROUNDUP(G156*I156,-3)</f>
        <v>155000</v>
      </c>
      <c r="Q156" s="694"/>
      <c r="R156" s="694"/>
      <c r="S156" s="695"/>
      <c r="T156" s="696"/>
    </row>
    <row r="157" spans="1:20" ht="15" customHeight="1">
      <c r="A157" s="617"/>
      <c r="B157" s="632"/>
      <c r="C157" s="719"/>
      <c r="D157" s="632"/>
      <c r="E157" s="1143"/>
      <c r="F157" s="1507" t="s">
        <v>2878</v>
      </c>
      <c r="G157" s="686"/>
      <c r="H157" s="679"/>
      <c r="I157" s="679"/>
      <c r="J157" s="679"/>
      <c r="K157" s="679"/>
      <c r="L157" s="1508"/>
      <c r="M157" s="679"/>
      <c r="N157" s="687"/>
      <c r="O157" s="687"/>
      <c r="P157" s="681"/>
      <c r="Q157" s="653">
        <f t="shared" ref="Q157:Q163" si="54">P157</f>
        <v>0</v>
      </c>
      <c r="R157" s="653">
        <v>1200000</v>
      </c>
      <c r="S157" s="654">
        <f t="shared" ref="S157:S158" si="55">Q157-R157</f>
        <v>-1200000</v>
      </c>
      <c r="T157" s="655">
        <f t="shared" ref="T157:T158" si="56">S157/R157</f>
        <v>-1</v>
      </c>
    </row>
    <row r="158" spans="1:20" ht="15" customHeight="1">
      <c r="A158" s="617"/>
      <c r="B158" s="632"/>
      <c r="C158" s="719"/>
      <c r="D158" s="632"/>
      <c r="E158" s="1143"/>
      <c r="F158" s="1507" t="s">
        <v>2879</v>
      </c>
      <c r="G158" s="686"/>
      <c r="H158" s="679"/>
      <c r="I158" s="679"/>
      <c r="J158" s="679"/>
      <c r="K158" s="679"/>
      <c r="L158" s="1508"/>
      <c r="M158" s="679"/>
      <c r="N158" s="687"/>
      <c r="O158" s="687"/>
      <c r="P158" s="681"/>
      <c r="Q158" s="653">
        <f t="shared" si="54"/>
        <v>0</v>
      </c>
      <c r="R158" s="653">
        <v>3000000</v>
      </c>
      <c r="S158" s="654">
        <f t="shared" si="55"/>
        <v>-3000000</v>
      </c>
      <c r="T158" s="655">
        <f t="shared" si="56"/>
        <v>-1</v>
      </c>
    </row>
    <row r="159" spans="1:20" ht="15" customHeight="1">
      <c r="A159" s="617"/>
      <c r="B159" s="632"/>
      <c r="C159" s="719"/>
      <c r="D159" s="632"/>
      <c r="E159" s="1143"/>
      <c r="F159" s="1507" t="s">
        <v>2880</v>
      </c>
      <c r="G159" s="686"/>
      <c r="H159" s="679"/>
      <c r="I159" s="679"/>
      <c r="J159" s="679"/>
      <c r="K159" s="679"/>
      <c r="L159" s="1508"/>
      <c r="M159" s="679"/>
      <c r="N159" s="687"/>
      <c r="O159" s="687"/>
      <c r="P159" s="681"/>
      <c r="Q159" s="653">
        <f t="shared" si="54"/>
        <v>0</v>
      </c>
      <c r="R159" s="653">
        <v>1000000</v>
      </c>
      <c r="S159" s="654">
        <f t="shared" ref="S159:S163" si="57">Q159-R159</f>
        <v>-1000000</v>
      </c>
      <c r="T159" s="655">
        <f t="shared" ref="T159:T165" si="58">S159/R159</f>
        <v>-1</v>
      </c>
    </row>
    <row r="160" spans="1:20" ht="15" customHeight="1">
      <c r="A160" s="617"/>
      <c r="B160" s="632"/>
      <c r="C160" s="719"/>
      <c r="D160" s="632"/>
      <c r="E160" s="1143"/>
      <c r="F160" s="1507" t="s">
        <v>2881</v>
      </c>
      <c r="G160" s="686"/>
      <c r="H160" s="679"/>
      <c r="I160" s="679"/>
      <c r="J160" s="679"/>
      <c r="K160" s="679"/>
      <c r="L160" s="1508"/>
      <c r="M160" s="679"/>
      <c r="N160" s="687"/>
      <c r="O160" s="687"/>
      <c r="P160" s="681"/>
      <c r="Q160" s="653">
        <f t="shared" si="54"/>
        <v>0</v>
      </c>
      <c r="R160" s="653">
        <v>2000000</v>
      </c>
      <c r="S160" s="654">
        <f t="shared" si="57"/>
        <v>-2000000</v>
      </c>
      <c r="T160" s="655">
        <f t="shared" si="58"/>
        <v>-1</v>
      </c>
    </row>
    <row r="161" spans="1:20" ht="15" customHeight="1">
      <c r="A161" s="617"/>
      <c r="B161" s="632"/>
      <c r="C161" s="719"/>
      <c r="D161" s="632"/>
      <c r="E161" s="1143"/>
      <c r="F161" s="1507" t="s">
        <v>2882</v>
      </c>
      <c r="G161" s="686"/>
      <c r="H161" s="679"/>
      <c r="I161" s="679"/>
      <c r="J161" s="679"/>
      <c r="K161" s="679"/>
      <c r="L161" s="1508"/>
      <c r="M161" s="679"/>
      <c r="N161" s="687"/>
      <c r="O161" s="687"/>
      <c r="P161" s="681"/>
      <c r="Q161" s="653">
        <f t="shared" si="54"/>
        <v>0</v>
      </c>
      <c r="R161" s="653">
        <v>900000</v>
      </c>
      <c r="S161" s="654">
        <f t="shared" si="57"/>
        <v>-900000</v>
      </c>
      <c r="T161" s="655">
        <f t="shared" si="58"/>
        <v>-1</v>
      </c>
    </row>
    <row r="162" spans="1:20" ht="15" customHeight="1">
      <c r="A162" s="617"/>
      <c r="B162" s="632"/>
      <c r="C162" s="719"/>
      <c r="D162" s="632"/>
      <c r="E162" s="1143"/>
      <c r="F162" s="1507" t="s">
        <v>2883</v>
      </c>
      <c r="G162" s="686"/>
      <c r="H162" s="679"/>
      <c r="I162" s="679"/>
      <c r="J162" s="679"/>
      <c r="K162" s="679"/>
      <c r="L162" s="1508"/>
      <c r="M162" s="679"/>
      <c r="N162" s="687"/>
      <c r="O162" s="687"/>
      <c r="P162" s="681"/>
      <c r="Q162" s="653">
        <f t="shared" si="54"/>
        <v>0</v>
      </c>
      <c r="R162" s="653">
        <v>300000</v>
      </c>
      <c r="S162" s="654">
        <f t="shared" si="57"/>
        <v>-300000</v>
      </c>
      <c r="T162" s="655">
        <f t="shared" si="58"/>
        <v>-1</v>
      </c>
    </row>
    <row r="163" spans="1:20" ht="15" customHeight="1">
      <c r="A163" s="617"/>
      <c r="B163" s="632"/>
      <c r="C163" s="719"/>
      <c r="D163" s="632"/>
      <c r="E163" s="3318"/>
      <c r="F163" s="1574" t="s">
        <v>2884</v>
      </c>
      <c r="G163" s="1575"/>
      <c r="H163" s="1576"/>
      <c r="I163" s="1576"/>
      <c r="J163" s="1576"/>
      <c r="K163" s="1576"/>
      <c r="L163" s="1577"/>
      <c r="M163" s="1576"/>
      <c r="N163" s="1578"/>
      <c r="O163" s="1578"/>
      <c r="P163" s="1579"/>
      <c r="Q163" s="683">
        <f t="shared" si="54"/>
        <v>0</v>
      </c>
      <c r="R163" s="683">
        <v>2000000</v>
      </c>
      <c r="S163" s="1489">
        <f t="shared" si="57"/>
        <v>-2000000</v>
      </c>
      <c r="T163" s="1490">
        <f t="shared" si="58"/>
        <v>-1</v>
      </c>
    </row>
    <row r="164" spans="1:20" ht="15" customHeight="1">
      <c r="A164" s="617"/>
      <c r="B164" s="632"/>
      <c r="C164" s="719"/>
      <c r="D164" s="632"/>
      <c r="E164" s="3637" t="s">
        <v>316</v>
      </c>
      <c r="F164" s="3638"/>
      <c r="G164" s="3638"/>
      <c r="H164" s="3638"/>
      <c r="I164" s="3638"/>
      <c r="J164" s="3638"/>
      <c r="K164" s="3638"/>
      <c r="L164" s="3638"/>
      <c r="M164" s="3638"/>
      <c r="N164" s="3638"/>
      <c r="O164" s="3638"/>
      <c r="P164" s="3639"/>
      <c r="Q164" s="1049">
        <f>P165+P169+P174</f>
        <v>4400000</v>
      </c>
      <c r="R164" s="2059">
        <f>SUM(R165:R179)</f>
        <v>4074000</v>
      </c>
      <c r="S164" s="1050">
        <f>Q164-R164</f>
        <v>326000</v>
      </c>
      <c r="T164" s="1051">
        <f>S164/R164</f>
        <v>8.0019636720667642E-2</v>
      </c>
    </row>
    <row r="165" spans="1:20" ht="15" customHeight="1">
      <c r="A165" s="617"/>
      <c r="B165" s="632"/>
      <c r="C165" s="719"/>
      <c r="D165" s="632"/>
      <c r="E165" s="1143"/>
      <c r="F165" s="1507" t="s">
        <v>1368</v>
      </c>
      <c r="G165" s="686"/>
      <c r="H165" s="679"/>
      <c r="I165" s="679"/>
      <c r="J165" s="679"/>
      <c r="K165" s="679"/>
      <c r="L165" s="1508"/>
      <c r="M165" s="679"/>
      <c r="N165" s="687"/>
      <c r="O165" s="687"/>
      <c r="P165" s="681">
        <f>SUM(P166:P168)</f>
        <v>1000000</v>
      </c>
      <c r="Q165" s="653">
        <f>P165</f>
        <v>1000000</v>
      </c>
      <c r="R165" s="653">
        <v>900000</v>
      </c>
      <c r="S165" s="654">
        <f t="shared" ref="S165" si="59">Q165-R165</f>
        <v>100000</v>
      </c>
      <c r="T165" s="655">
        <f t="shared" si="58"/>
        <v>0.1111111111111111</v>
      </c>
    </row>
    <row r="166" spans="1:20" ht="15" customHeight="1">
      <c r="A166" s="617"/>
      <c r="B166" s="632"/>
      <c r="C166" s="719"/>
      <c r="D166" s="632"/>
      <c r="E166" s="1143"/>
      <c r="F166" s="1511" t="s">
        <v>2641</v>
      </c>
      <c r="G166" s="1552">
        <v>100000</v>
      </c>
      <c r="H166" s="1168" t="s">
        <v>21</v>
      </c>
      <c r="I166" s="2291">
        <v>2</v>
      </c>
      <c r="J166" s="1168"/>
      <c r="K166" s="2522"/>
      <c r="L166" s="2523"/>
      <c r="M166" s="2522"/>
      <c r="N166" s="701"/>
      <c r="O166" s="701" t="s">
        <v>22</v>
      </c>
      <c r="P166" s="882">
        <f>ROUNDUP(G166*I166,-3)</f>
        <v>200000</v>
      </c>
      <c r="Q166" s="694"/>
      <c r="R166" s="694"/>
      <c r="S166" s="695"/>
      <c r="T166" s="696"/>
    </row>
    <row r="167" spans="1:20" ht="15" customHeight="1">
      <c r="A167" s="617"/>
      <c r="B167" s="632"/>
      <c r="C167" s="719"/>
      <c r="D167" s="632"/>
      <c r="E167" s="1143"/>
      <c r="F167" s="1511" t="s">
        <v>2642</v>
      </c>
      <c r="G167" s="1552">
        <v>100000</v>
      </c>
      <c r="H167" s="1168" t="s">
        <v>21</v>
      </c>
      <c r="I167" s="2291">
        <v>3</v>
      </c>
      <c r="J167" s="1168"/>
      <c r="K167" s="2522"/>
      <c r="L167" s="2523"/>
      <c r="M167" s="2522"/>
      <c r="N167" s="701"/>
      <c r="O167" s="701" t="s">
        <v>22</v>
      </c>
      <c r="P167" s="882">
        <f>ROUNDUP(G167*I167,-3)</f>
        <v>300000</v>
      </c>
      <c r="Q167" s="694"/>
      <c r="R167" s="694"/>
      <c r="S167" s="695"/>
      <c r="T167" s="696"/>
    </row>
    <row r="168" spans="1:20" ht="15" customHeight="1">
      <c r="A168" s="617"/>
      <c r="B168" s="632"/>
      <c r="C168" s="719"/>
      <c r="D168" s="632"/>
      <c r="E168" s="1143"/>
      <c r="F168" s="1511" t="s">
        <v>2643</v>
      </c>
      <c r="G168" s="1552">
        <v>250000</v>
      </c>
      <c r="H168" s="1168" t="s">
        <v>21</v>
      </c>
      <c r="I168" s="2291">
        <v>2</v>
      </c>
      <c r="J168" s="1168"/>
      <c r="K168" s="2522"/>
      <c r="L168" s="2523"/>
      <c r="M168" s="2522"/>
      <c r="N168" s="701"/>
      <c r="O168" s="701" t="s">
        <v>22</v>
      </c>
      <c r="P168" s="882">
        <f>ROUNDUP(G168*I168,-3)</f>
        <v>500000</v>
      </c>
      <c r="Q168" s="694"/>
      <c r="R168" s="694"/>
      <c r="S168" s="695"/>
      <c r="T168" s="696"/>
    </row>
    <row r="169" spans="1:20" ht="15" customHeight="1">
      <c r="A169" s="617"/>
      <c r="B169" s="632"/>
      <c r="C169" s="719"/>
      <c r="D169" s="632"/>
      <c r="E169" s="1143"/>
      <c r="F169" s="1507" t="s">
        <v>1369</v>
      </c>
      <c r="G169" s="686"/>
      <c r="H169" s="679"/>
      <c r="I169" s="679"/>
      <c r="J169" s="679"/>
      <c r="K169" s="679"/>
      <c r="L169" s="1508"/>
      <c r="M169" s="679"/>
      <c r="N169" s="687"/>
      <c r="O169" s="687"/>
      <c r="P169" s="681">
        <f>SUM(P170:P173)</f>
        <v>3000000</v>
      </c>
      <c r="Q169" s="653">
        <f>P169</f>
        <v>3000000</v>
      </c>
      <c r="R169" s="653">
        <v>0</v>
      </c>
      <c r="S169" s="654">
        <f t="shared" ref="S169" si="60">Q169-R169</f>
        <v>3000000</v>
      </c>
      <c r="T169" s="655"/>
    </row>
    <row r="170" spans="1:20" ht="15" customHeight="1">
      <c r="A170" s="617"/>
      <c r="B170" s="632"/>
      <c r="C170" s="719"/>
      <c r="D170" s="632"/>
      <c r="E170" s="1143"/>
      <c r="F170" s="1415" t="s">
        <v>2636</v>
      </c>
      <c r="G170" s="2188">
        <v>120000</v>
      </c>
      <c r="H170" s="659" t="s">
        <v>21</v>
      </c>
      <c r="I170" s="2393">
        <v>1</v>
      </c>
      <c r="J170" s="2522"/>
      <c r="K170" s="2522"/>
      <c r="L170" s="2523"/>
      <c r="M170" s="2522"/>
      <c r="N170" s="701"/>
      <c r="O170" s="701" t="s">
        <v>22</v>
      </c>
      <c r="P170" s="882">
        <f>ROUNDUP(G170*I170,-3)</f>
        <v>120000</v>
      </c>
      <c r="Q170" s="694"/>
      <c r="R170" s="694"/>
      <c r="S170" s="695"/>
      <c r="T170" s="696"/>
    </row>
    <row r="171" spans="1:20" ht="15" customHeight="1">
      <c r="A171" s="617"/>
      <c r="B171" s="632"/>
      <c r="C171" s="719"/>
      <c r="D171" s="632"/>
      <c r="E171" s="1143"/>
      <c r="F171" s="1415" t="s">
        <v>2644</v>
      </c>
      <c r="G171" s="2188">
        <v>1480000</v>
      </c>
      <c r="H171" s="659" t="s">
        <v>21</v>
      </c>
      <c r="I171" s="2393">
        <v>1</v>
      </c>
      <c r="J171" s="2522"/>
      <c r="K171" s="2522"/>
      <c r="L171" s="2523"/>
      <c r="M171" s="2522"/>
      <c r="N171" s="701"/>
      <c r="O171" s="701" t="s">
        <v>22</v>
      </c>
      <c r="P171" s="882">
        <f>ROUNDUP(G171*I171,-3)</f>
        <v>1480000</v>
      </c>
      <c r="Q171" s="694"/>
      <c r="R171" s="694"/>
      <c r="S171" s="695"/>
      <c r="T171" s="696"/>
    </row>
    <row r="172" spans="1:20" ht="15" customHeight="1">
      <c r="A172" s="617"/>
      <c r="B172" s="632"/>
      <c r="C172" s="719"/>
      <c r="D172" s="632"/>
      <c r="E172" s="1143"/>
      <c r="F172" s="1415" t="s">
        <v>1370</v>
      </c>
      <c r="G172" s="2188">
        <v>200000</v>
      </c>
      <c r="H172" s="659" t="s">
        <v>21</v>
      </c>
      <c r="I172" s="2392">
        <v>2</v>
      </c>
      <c r="J172" s="2522"/>
      <c r="K172" s="2522"/>
      <c r="L172" s="2523"/>
      <c r="M172" s="2522"/>
      <c r="N172" s="701"/>
      <c r="O172" s="701" t="s">
        <v>22</v>
      </c>
      <c r="P172" s="882">
        <f>ROUNDUP(G172*I172,-3)</f>
        <v>400000</v>
      </c>
      <c r="Q172" s="694"/>
      <c r="R172" s="694"/>
      <c r="S172" s="695"/>
      <c r="T172" s="696"/>
    </row>
    <row r="173" spans="1:20" ht="15" customHeight="1">
      <c r="A173" s="617"/>
      <c r="B173" s="632"/>
      <c r="C173" s="719"/>
      <c r="D173" s="632"/>
      <c r="E173" s="1143"/>
      <c r="F173" s="1415" t="s">
        <v>2645</v>
      </c>
      <c r="G173" s="2188">
        <v>500000</v>
      </c>
      <c r="H173" s="659" t="s">
        <v>21</v>
      </c>
      <c r="I173" s="2392">
        <v>2</v>
      </c>
      <c r="J173" s="2522"/>
      <c r="K173" s="2522"/>
      <c r="L173" s="2523"/>
      <c r="M173" s="2522"/>
      <c r="N173" s="701"/>
      <c r="O173" s="701" t="s">
        <v>22</v>
      </c>
      <c r="P173" s="882">
        <f>ROUNDUP(G173*I173,-3)</f>
        <v>1000000</v>
      </c>
      <c r="Q173" s="694"/>
      <c r="R173" s="694"/>
      <c r="S173" s="695"/>
      <c r="T173" s="696"/>
    </row>
    <row r="174" spans="1:20" ht="15" customHeight="1">
      <c r="A174" s="617"/>
      <c r="B174" s="632"/>
      <c r="C174" s="719"/>
      <c r="D174" s="632"/>
      <c r="E174" s="1143"/>
      <c r="F174" s="1507" t="s">
        <v>1371</v>
      </c>
      <c r="G174" s="686"/>
      <c r="H174" s="679"/>
      <c r="I174" s="679"/>
      <c r="J174" s="679"/>
      <c r="K174" s="679"/>
      <c r="L174" s="1508"/>
      <c r="M174" s="679"/>
      <c r="N174" s="687"/>
      <c r="O174" s="687"/>
      <c r="P174" s="681">
        <f>SUM(P175:P178)</f>
        <v>400000</v>
      </c>
      <c r="Q174" s="653">
        <f>P174</f>
        <v>400000</v>
      </c>
      <c r="R174" s="653">
        <v>0</v>
      </c>
      <c r="S174" s="654">
        <f t="shared" ref="S174" si="61">Q174-R174</f>
        <v>400000</v>
      </c>
      <c r="T174" s="655"/>
    </row>
    <row r="175" spans="1:20" ht="15" customHeight="1">
      <c r="A175" s="617"/>
      <c r="B175" s="632"/>
      <c r="C175" s="719"/>
      <c r="D175" s="632"/>
      <c r="E175" s="1143"/>
      <c r="F175" s="1415" t="s">
        <v>2646</v>
      </c>
      <c r="G175" s="2188">
        <v>130000</v>
      </c>
      <c r="H175" s="659" t="s">
        <v>21</v>
      </c>
      <c r="I175" s="2392">
        <v>1</v>
      </c>
      <c r="J175" s="2522"/>
      <c r="K175" s="2522"/>
      <c r="L175" s="2523"/>
      <c r="M175" s="2522"/>
      <c r="N175" s="701"/>
      <c r="O175" s="701" t="s">
        <v>22</v>
      </c>
      <c r="P175" s="882">
        <f>ROUNDUP(G175*I175,-3)</f>
        <v>130000</v>
      </c>
      <c r="Q175" s="694"/>
      <c r="R175" s="694"/>
      <c r="S175" s="695"/>
      <c r="T175" s="696"/>
    </row>
    <row r="176" spans="1:20" ht="15" customHeight="1">
      <c r="A176" s="617"/>
      <c r="B176" s="632"/>
      <c r="C176" s="719"/>
      <c r="D176" s="632"/>
      <c r="E176" s="1143"/>
      <c r="F176" s="1415" t="s">
        <v>2647</v>
      </c>
      <c r="G176" s="2188">
        <v>110000</v>
      </c>
      <c r="H176" s="659" t="s">
        <v>21</v>
      </c>
      <c r="I176" s="2393">
        <v>1</v>
      </c>
      <c r="J176" s="2522"/>
      <c r="K176" s="2522"/>
      <c r="L176" s="2523"/>
      <c r="M176" s="2522"/>
      <c r="N176" s="701"/>
      <c r="O176" s="701" t="s">
        <v>22</v>
      </c>
      <c r="P176" s="882">
        <f>ROUNDUP(G176*I176,-3)</f>
        <v>110000</v>
      </c>
      <c r="Q176" s="694"/>
      <c r="R176" s="694"/>
      <c r="S176" s="695"/>
      <c r="T176" s="696"/>
    </row>
    <row r="177" spans="1:20" ht="15" customHeight="1">
      <c r="A177" s="617"/>
      <c r="B177" s="632"/>
      <c r="C177" s="719"/>
      <c r="D177" s="632"/>
      <c r="E177" s="1143"/>
      <c r="F177" s="1415" t="s">
        <v>2648</v>
      </c>
      <c r="G177" s="2188">
        <v>25000</v>
      </c>
      <c r="H177" s="659" t="s">
        <v>21</v>
      </c>
      <c r="I177" s="2392">
        <v>4</v>
      </c>
      <c r="J177" s="2522"/>
      <c r="K177" s="2522"/>
      <c r="L177" s="2523"/>
      <c r="M177" s="2522"/>
      <c r="N177" s="701"/>
      <c r="O177" s="701" t="s">
        <v>22</v>
      </c>
      <c r="P177" s="882">
        <f>ROUNDUP(G177*I177,-3)</f>
        <v>100000</v>
      </c>
      <c r="Q177" s="694"/>
      <c r="R177" s="694"/>
      <c r="S177" s="695"/>
      <c r="T177" s="696"/>
    </row>
    <row r="178" spans="1:20" ht="15" customHeight="1">
      <c r="A178" s="617"/>
      <c r="B178" s="632"/>
      <c r="C178" s="719"/>
      <c r="D178" s="632"/>
      <c r="E178" s="1143"/>
      <c r="F178" s="1415" t="s">
        <v>2649</v>
      </c>
      <c r="G178" s="2188">
        <v>60000</v>
      </c>
      <c r="H178" s="659" t="s">
        <v>21</v>
      </c>
      <c r="I178" s="2393">
        <v>1</v>
      </c>
      <c r="J178" s="2522"/>
      <c r="K178" s="2522"/>
      <c r="L178" s="2523"/>
      <c r="M178" s="2522"/>
      <c r="N178" s="701"/>
      <c r="O178" s="701" t="s">
        <v>22</v>
      </c>
      <c r="P178" s="882">
        <f>ROUNDUP(G178*I178,-3)</f>
        <v>60000</v>
      </c>
      <c r="Q178" s="694"/>
      <c r="R178" s="694"/>
      <c r="S178" s="695"/>
      <c r="T178" s="696"/>
    </row>
    <row r="179" spans="1:20" ht="15" customHeight="1">
      <c r="A179" s="617"/>
      <c r="B179" s="632"/>
      <c r="C179" s="719"/>
      <c r="D179" s="632"/>
      <c r="E179" s="1143"/>
      <c r="F179" s="1507" t="s">
        <v>2885</v>
      </c>
      <c r="G179" s="686"/>
      <c r="H179" s="679"/>
      <c r="I179" s="679"/>
      <c r="J179" s="679"/>
      <c r="K179" s="679"/>
      <c r="L179" s="1508"/>
      <c r="M179" s="679"/>
      <c r="N179" s="687"/>
      <c r="O179" s="687"/>
      <c r="P179" s="681"/>
      <c r="Q179" s="653">
        <f>P179</f>
        <v>0</v>
      </c>
      <c r="R179" s="653">
        <v>3174000</v>
      </c>
      <c r="S179" s="654">
        <f t="shared" ref="S179" si="62">Q179-R179</f>
        <v>-3174000</v>
      </c>
      <c r="T179" s="655">
        <f t="shared" ref="T179" si="63">S179/R179</f>
        <v>-1</v>
      </c>
    </row>
    <row r="180" spans="1:20" ht="15" customHeight="1">
      <c r="A180" s="617"/>
      <c r="B180" s="632"/>
      <c r="C180" s="719"/>
      <c r="D180" s="632"/>
      <c r="E180" s="3637" t="s">
        <v>3081</v>
      </c>
      <c r="F180" s="3638"/>
      <c r="G180" s="3638"/>
      <c r="H180" s="3638"/>
      <c r="I180" s="3638"/>
      <c r="J180" s="3638"/>
      <c r="K180" s="3638"/>
      <c r="L180" s="3638"/>
      <c r="M180" s="3638"/>
      <c r="N180" s="3638"/>
      <c r="O180" s="3638"/>
      <c r="P180" s="3639"/>
      <c r="Q180" s="645">
        <f>P181+P186+P190+P198+P204+P208+P225</f>
        <v>25092000</v>
      </c>
      <c r="R180" s="2015">
        <f>SUM(R181:R239)</f>
        <v>18100000</v>
      </c>
      <c r="S180" s="646">
        <f>Q180-R180</f>
        <v>6992000</v>
      </c>
      <c r="T180" s="647">
        <f>S180/R180</f>
        <v>0.38629834254143647</v>
      </c>
    </row>
    <row r="181" spans="1:20" ht="15" customHeight="1">
      <c r="A181" s="617"/>
      <c r="B181" s="632"/>
      <c r="C181" s="719"/>
      <c r="D181" s="632"/>
      <c r="E181" s="1143"/>
      <c r="F181" s="1507" t="s">
        <v>1372</v>
      </c>
      <c r="G181" s="686"/>
      <c r="H181" s="679"/>
      <c r="I181" s="679"/>
      <c r="J181" s="679"/>
      <c r="K181" s="679"/>
      <c r="L181" s="1508"/>
      <c r="M181" s="679"/>
      <c r="N181" s="687"/>
      <c r="O181" s="687"/>
      <c r="P181" s="681">
        <f>SUM(P182:P185)</f>
        <v>5000000</v>
      </c>
      <c r="Q181" s="653">
        <f>P181</f>
        <v>5000000</v>
      </c>
      <c r="R181" s="653">
        <v>5000000</v>
      </c>
      <c r="S181" s="654">
        <f t="shared" ref="S181" si="64">Q181-R181</f>
        <v>0</v>
      </c>
      <c r="T181" s="655">
        <f t="shared" ref="T181" si="65">S181/R181</f>
        <v>0</v>
      </c>
    </row>
    <row r="182" spans="1:20" ht="15" customHeight="1">
      <c r="A182" s="617"/>
      <c r="B182" s="632"/>
      <c r="C182" s="719"/>
      <c r="D182" s="632"/>
      <c r="E182" s="1143"/>
      <c r="F182" s="1415" t="s">
        <v>2650</v>
      </c>
      <c r="G182" s="2188">
        <v>5000</v>
      </c>
      <c r="H182" s="659" t="s">
        <v>21</v>
      </c>
      <c r="I182" s="2394">
        <v>40</v>
      </c>
      <c r="J182" s="659" t="s">
        <v>21</v>
      </c>
      <c r="K182" s="2392">
        <v>4</v>
      </c>
      <c r="L182" s="2523"/>
      <c r="M182" s="2522"/>
      <c r="N182" s="701"/>
      <c r="O182" s="701" t="s">
        <v>22</v>
      </c>
      <c r="P182" s="882">
        <f>ROUNDUP(G182*I182*K182,-3)</f>
        <v>800000</v>
      </c>
      <c r="Q182" s="694"/>
      <c r="R182" s="694"/>
      <c r="S182" s="695"/>
      <c r="T182" s="696"/>
    </row>
    <row r="183" spans="1:20" ht="15" customHeight="1">
      <c r="A183" s="759"/>
      <c r="B183" s="703"/>
      <c r="C183" s="619"/>
      <c r="D183" s="703"/>
      <c r="E183" s="3318"/>
      <c r="F183" s="1442" t="s">
        <v>2651</v>
      </c>
      <c r="G183" s="2418">
        <v>600000</v>
      </c>
      <c r="H183" s="2419" t="s">
        <v>21</v>
      </c>
      <c r="I183" s="2420">
        <v>4</v>
      </c>
      <c r="J183" s="2419"/>
      <c r="K183" s="2419"/>
      <c r="L183" s="1582"/>
      <c r="M183" s="709"/>
      <c r="N183" s="710"/>
      <c r="O183" s="710" t="s">
        <v>22</v>
      </c>
      <c r="P183" s="896">
        <f>ROUNDUP(G183*I183,-3)</f>
        <v>2400000</v>
      </c>
      <c r="Q183" s="712"/>
      <c r="R183" s="712"/>
      <c r="S183" s="713"/>
      <c r="T183" s="714"/>
    </row>
    <row r="184" spans="1:20" ht="15" customHeight="1">
      <c r="A184" s="617"/>
      <c r="B184" s="632"/>
      <c r="C184" s="719"/>
      <c r="D184" s="632"/>
      <c r="E184" s="1143"/>
      <c r="F184" s="1415" t="s">
        <v>2652</v>
      </c>
      <c r="G184" s="2188">
        <v>250000</v>
      </c>
      <c r="H184" s="659" t="s">
        <v>21</v>
      </c>
      <c r="I184" s="2392">
        <v>4</v>
      </c>
      <c r="J184" s="659"/>
      <c r="K184" s="659"/>
      <c r="L184" s="2523"/>
      <c r="M184" s="2522"/>
      <c r="N184" s="701"/>
      <c r="O184" s="701" t="s">
        <v>22</v>
      </c>
      <c r="P184" s="882">
        <f>ROUNDUP(G184*I184,-3)</f>
        <v>1000000</v>
      </c>
      <c r="Q184" s="694"/>
      <c r="R184" s="694"/>
      <c r="S184" s="695"/>
      <c r="T184" s="696"/>
    </row>
    <row r="185" spans="1:20" ht="15" customHeight="1">
      <c r="A185" s="617"/>
      <c r="B185" s="632"/>
      <c r="C185" s="719"/>
      <c r="D185" s="632"/>
      <c r="E185" s="1143"/>
      <c r="F185" s="1415" t="s">
        <v>2653</v>
      </c>
      <c r="G185" s="2188">
        <v>400000</v>
      </c>
      <c r="H185" s="659" t="s">
        <v>21</v>
      </c>
      <c r="I185" s="2392">
        <v>2</v>
      </c>
      <c r="J185" s="659"/>
      <c r="K185" s="659"/>
      <c r="L185" s="2523"/>
      <c r="M185" s="2522"/>
      <c r="N185" s="701"/>
      <c r="O185" s="701" t="s">
        <v>22</v>
      </c>
      <c r="P185" s="882">
        <f>ROUNDUP(G185*I185,-3)</f>
        <v>800000</v>
      </c>
      <c r="Q185" s="694"/>
      <c r="R185" s="694"/>
      <c r="S185" s="695"/>
      <c r="T185" s="696"/>
    </row>
    <row r="186" spans="1:20" ht="15" customHeight="1">
      <c r="A186" s="617"/>
      <c r="B186" s="632"/>
      <c r="C186" s="719"/>
      <c r="D186" s="632"/>
      <c r="E186" s="1143"/>
      <c r="F186" s="1507" t="s">
        <v>1374</v>
      </c>
      <c r="G186" s="686"/>
      <c r="H186" s="679"/>
      <c r="I186" s="679"/>
      <c r="J186" s="679"/>
      <c r="K186" s="679"/>
      <c r="L186" s="1508"/>
      <c r="M186" s="679"/>
      <c r="N186" s="687"/>
      <c r="O186" s="687"/>
      <c r="P186" s="681">
        <f>SUM(P187:P189)</f>
        <v>2500000</v>
      </c>
      <c r="Q186" s="653">
        <f>P186</f>
        <v>2500000</v>
      </c>
      <c r="R186" s="653">
        <v>3000000</v>
      </c>
      <c r="S186" s="654">
        <f t="shared" ref="S186" si="66">Q186-R186</f>
        <v>-500000</v>
      </c>
      <c r="T186" s="655">
        <f t="shared" ref="T186" si="67">S186/R186</f>
        <v>-0.16666666666666666</v>
      </c>
    </row>
    <row r="187" spans="1:20" ht="15" customHeight="1">
      <c r="A187" s="617"/>
      <c r="B187" s="632"/>
      <c r="C187" s="719"/>
      <c r="D187" s="632"/>
      <c r="E187" s="1143"/>
      <c r="F187" s="1415" t="s">
        <v>2654</v>
      </c>
      <c r="G187" s="2188">
        <v>125000</v>
      </c>
      <c r="H187" s="659" t="s">
        <v>21</v>
      </c>
      <c r="I187" s="2392">
        <v>4</v>
      </c>
      <c r="J187" s="2522"/>
      <c r="K187" s="2522"/>
      <c r="L187" s="2523"/>
      <c r="M187" s="2522"/>
      <c r="N187" s="701"/>
      <c r="O187" s="701" t="s">
        <v>22</v>
      </c>
      <c r="P187" s="882">
        <f>ROUNDUP(G187*I187,-3)</f>
        <v>500000</v>
      </c>
      <c r="Q187" s="694"/>
      <c r="R187" s="694"/>
      <c r="S187" s="695"/>
      <c r="T187" s="696"/>
    </row>
    <row r="188" spans="1:20" ht="15" customHeight="1">
      <c r="A188" s="617"/>
      <c r="B188" s="632"/>
      <c r="C188" s="719"/>
      <c r="D188" s="632"/>
      <c r="E188" s="1143"/>
      <c r="F188" s="1415" t="s">
        <v>2655</v>
      </c>
      <c r="G188" s="2188">
        <v>350000</v>
      </c>
      <c r="H188" s="659" t="s">
        <v>21</v>
      </c>
      <c r="I188" s="2392">
        <v>4</v>
      </c>
      <c r="J188" s="2522"/>
      <c r="K188" s="2522"/>
      <c r="L188" s="2523"/>
      <c r="M188" s="2522"/>
      <c r="N188" s="701"/>
      <c r="O188" s="701" t="s">
        <v>22</v>
      </c>
      <c r="P188" s="882">
        <f>ROUNDUP(G188*I188,-3)</f>
        <v>1400000</v>
      </c>
      <c r="Q188" s="694"/>
      <c r="R188" s="694"/>
      <c r="S188" s="695"/>
      <c r="T188" s="696"/>
    </row>
    <row r="189" spans="1:20" ht="15" customHeight="1">
      <c r="A189" s="617"/>
      <c r="B189" s="632"/>
      <c r="C189" s="719"/>
      <c r="D189" s="632"/>
      <c r="E189" s="1143"/>
      <c r="F189" s="1415" t="s">
        <v>2656</v>
      </c>
      <c r="G189" s="2188">
        <v>150000</v>
      </c>
      <c r="H189" s="659" t="s">
        <v>21</v>
      </c>
      <c r="I189" s="2392">
        <v>4</v>
      </c>
      <c r="J189" s="2522"/>
      <c r="K189" s="2522"/>
      <c r="L189" s="2523"/>
      <c r="M189" s="2522"/>
      <c r="N189" s="701"/>
      <c r="O189" s="701" t="s">
        <v>22</v>
      </c>
      <c r="P189" s="882">
        <f>ROUNDUP(G189*I189,-3)</f>
        <v>600000</v>
      </c>
      <c r="Q189" s="694"/>
      <c r="R189" s="694"/>
      <c r="S189" s="695"/>
      <c r="T189" s="696"/>
    </row>
    <row r="190" spans="1:20" ht="15" customHeight="1">
      <c r="A190" s="617"/>
      <c r="B190" s="632"/>
      <c r="C190" s="719"/>
      <c r="D190" s="632"/>
      <c r="E190" s="1143"/>
      <c r="F190" s="1507" t="s">
        <v>1375</v>
      </c>
      <c r="G190" s="686"/>
      <c r="H190" s="679"/>
      <c r="I190" s="679"/>
      <c r="J190" s="679"/>
      <c r="K190" s="679"/>
      <c r="L190" s="1508"/>
      <c r="M190" s="679"/>
      <c r="N190" s="687"/>
      <c r="O190" s="687"/>
      <c r="P190" s="681">
        <f>SUM(P191,P193)</f>
        <v>2400000</v>
      </c>
      <c r="Q190" s="653">
        <f>P190</f>
        <v>2400000</v>
      </c>
      <c r="R190" s="653">
        <v>0</v>
      </c>
      <c r="S190" s="654">
        <f t="shared" ref="S190" si="68">Q190-R190</f>
        <v>2400000</v>
      </c>
      <c r="T190" s="655"/>
    </row>
    <row r="191" spans="1:20" ht="15" customHeight="1">
      <c r="A191" s="617"/>
      <c r="B191" s="632"/>
      <c r="C191" s="719"/>
      <c r="D191" s="632"/>
      <c r="E191" s="1143"/>
      <c r="F191" s="1415" t="s">
        <v>1376</v>
      </c>
      <c r="G191" s="1459"/>
      <c r="H191" s="2554"/>
      <c r="I191" s="1469"/>
      <c r="J191" s="2522"/>
      <c r="K191" s="2522"/>
      <c r="L191" s="2523"/>
      <c r="M191" s="2522"/>
      <c r="N191" s="701"/>
      <c r="O191" s="701"/>
      <c r="P191" s="2395">
        <f>SUM(P192)</f>
        <v>1500000</v>
      </c>
      <c r="Q191" s="694"/>
      <c r="R191" s="694"/>
      <c r="S191" s="695"/>
      <c r="T191" s="696"/>
    </row>
    <row r="192" spans="1:20" ht="15" customHeight="1">
      <c r="A192" s="617"/>
      <c r="B192" s="632"/>
      <c r="C192" s="719"/>
      <c r="D192" s="632"/>
      <c r="E192" s="1143"/>
      <c r="F192" s="1415" t="s">
        <v>2657</v>
      </c>
      <c r="G192" s="1459">
        <v>150000</v>
      </c>
      <c r="H192" s="2554" t="s">
        <v>21</v>
      </c>
      <c r="I192" s="1469">
        <v>10</v>
      </c>
      <c r="J192" s="2522"/>
      <c r="K192" s="2522"/>
      <c r="L192" s="2523"/>
      <c r="M192" s="2522"/>
      <c r="N192" s="701"/>
      <c r="O192" s="701" t="s">
        <v>22</v>
      </c>
      <c r="P192" s="882">
        <f>ROUNDUP(G192*I192,-3)</f>
        <v>1500000</v>
      </c>
      <c r="Q192" s="694"/>
      <c r="R192" s="694"/>
      <c r="S192" s="695"/>
      <c r="T192" s="696"/>
    </row>
    <row r="193" spans="1:20" ht="15" customHeight="1">
      <c r="A193" s="617"/>
      <c r="B193" s="632"/>
      <c r="C193" s="719"/>
      <c r="D193" s="632"/>
      <c r="E193" s="1143"/>
      <c r="F193" s="1415" t="s">
        <v>2658</v>
      </c>
      <c r="G193" s="1459"/>
      <c r="H193" s="2554"/>
      <c r="I193" s="1469"/>
      <c r="J193" s="2522"/>
      <c r="K193" s="2522"/>
      <c r="L193" s="2523"/>
      <c r="M193" s="2522"/>
      <c r="N193" s="701"/>
      <c r="O193" s="701"/>
      <c r="P193" s="2395">
        <f>SUM(P194:P197)</f>
        <v>900000</v>
      </c>
      <c r="Q193" s="694"/>
      <c r="R193" s="694"/>
      <c r="S193" s="695"/>
      <c r="T193" s="696"/>
    </row>
    <row r="194" spans="1:20" ht="15" customHeight="1">
      <c r="A194" s="617"/>
      <c r="B194" s="632"/>
      <c r="C194" s="719"/>
      <c r="D194" s="632"/>
      <c r="E194" s="1143"/>
      <c r="F194" s="1415" t="s">
        <v>2659</v>
      </c>
      <c r="G194" s="1459">
        <v>80000</v>
      </c>
      <c r="H194" s="2554" t="s">
        <v>21</v>
      </c>
      <c r="I194" s="1418">
        <v>6</v>
      </c>
      <c r="J194" s="2522"/>
      <c r="K194" s="2522"/>
      <c r="L194" s="2523"/>
      <c r="M194" s="2522"/>
      <c r="N194" s="701"/>
      <c r="O194" s="701" t="s">
        <v>22</v>
      </c>
      <c r="P194" s="882">
        <f>ROUNDUP(G194*I194,-3)</f>
        <v>480000</v>
      </c>
      <c r="Q194" s="694"/>
      <c r="R194" s="694"/>
      <c r="S194" s="695"/>
      <c r="T194" s="696"/>
    </row>
    <row r="195" spans="1:20" ht="15" customHeight="1">
      <c r="A195" s="617"/>
      <c r="B195" s="632"/>
      <c r="C195" s="719"/>
      <c r="D195" s="632"/>
      <c r="E195" s="1143"/>
      <c r="F195" s="1415" t="s">
        <v>2660</v>
      </c>
      <c r="G195" s="1459">
        <v>100000</v>
      </c>
      <c r="H195" s="2554" t="s">
        <v>21</v>
      </c>
      <c r="I195" s="1467">
        <v>1</v>
      </c>
      <c r="J195" s="2522"/>
      <c r="K195" s="2522"/>
      <c r="L195" s="2523"/>
      <c r="M195" s="2522"/>
      <c r="N195" s="701"/>
      <c r="O195" s="701" t="s">
        <v>22</v>
      </c>
      <c r="P195" s="882">
        <f>ROUNDUP(G195*I195,-3)</f>
        <v>100000</v>
      </c>
      <c r="Q195" s="694"/>
      <c r="R195" s="694"/>
      <c r="S195" s="695"/>
      <c r="T195" s="696"/>
    </row>
    <row r="196" spans="1:20" ht="15" customHeight="1">
      <c r="A196" s="617"/>
      <c r="B196" s="632"/>
      <c r="C196" s="719"/>
      <c r="D196" s="632"/>
      <c r="E196" s="1143"/>
      <c r="F196" s="1415" t="s">
        <v>2661</v>
      </c>
      <c r="G196" s="1459">
        <v>60000</v>
      </c>
      <c r="H196" s="2554" t="s">
        <v>21</v>
      </c>
      <c r="I196" s="1469">
        <v>2</v>
      </c>
      <c r="J196" s="2522"/>
      <c r="K196" s="2522"/>
      <c r="L196" s="2523"/>
      <c r="M196" s="2522"/>
      <c r="N196" s="701"/>
      <c r="O196" s="701" t="s">
        <v>22</v>
      </c>
      <c r="P196" s="882">
        <f>ROUNDUP(G196*I196,-3)</f>
        <v>120000</v>
      </c>
      <c r="Q196" s="694"/>
      <c r="R196" s="694"/>
      <c r="S196" s="695"/>
      <c r="T196" s="696"/>
    </row>
    <row r="197" spans="1:20" ht="15" customHeight="1">
      <c r="A197" s="617"/>
      <c r="B197" s="632"/>
      <c r="C197" s="719"/>
      <c r="D197" s="632"/>
      <c r="E197" s="1143"/>
      <c r="F197" s="1415" t="s">
        <v>2662</v>
      </c>
      <c r="G197" s="1459">
        <v>200000</v>
      </c>
      <c r="H197" s="2554" t="s">
        <v>21</v>
      </c>
      <c r="I197" s="1469">
        <v>1</v>
      </c>
      <c r="J197" s="2522"/>
      <c r="K197" s="2522"/>
      <c r="L197" s="2523"/>
      <c r="M197" s="2522"/>
      <c r="N197" s="701"/>
      <c r="O197" s="701" t="s">
        <v>22</v>
      </c>
      <c r="P197" s="882">
        <f>ROUNDUP(G197*I197,-3)</f>
        <v>200000</v>
      </c>
      <c r="Q197" s="694"/>
      <c r="R197" s="694"/>
      <c r="S197" s="695"/>
      <c r="T197" s="696"/>
    </row>
    <row r="198" spans="1:20" ht="15" customHeight="1">
      <c r="A198" s="617"/>
      <c r="B198" s="632"/>
      <c r="C198" s="719"/>
      <c r="D198" s="632"/>
      <c r="E198" s="1143"/>
      <c r="F198" s="1507" t="s">
        <v>1377</v>
      </c>
      <c r="G198" s="686"/>
      <c r="H198" s="679"/>
      <c r="I198" s="679"/>
      <c r="J198" s="679"/>
      <c r="K198" s="679"/>
      <c r="L198" s="1508"/>
      <c r="M198" s="679"/>
      <c r="N198" s="687"/>
      <c r="O198" s="687"/>
      <c r="P198" s="681">
        <f>SUM(P199:P203)</f>
        <v>3000000</v>
      </c>
      <c r="Q198" s="653">
        <f>P198</f>
        <v>3000000</v>
      </c>
      <c r="R198" s="653">
        <v>0</v>
      </c>
      <c r="S198" s="654">
        <f t="shared" ref="S198" si="69">Q198-R198</f>
        <v>3000000</v>
      </c>
      <c r="T198" s="655"/>
    </row>
    <row r="199" spans="1:20" ht="15" customHeight="1">
      <c r="A199" s="617"/>
      <c r="B199" s="632"/>
      <c r="C199" s="719"/>
      <c r="D199" s="632"/>
      <c r="E199" s="1143"/>
      <c r="F199" s="1415" t="s">
        <v>2663</v>
      </c>
      <c r="G199" s="2188">
        <v>1500000</v>
      </c>
      <c r="H199" s="659" t="s">
        <v>21</v>
      </c>
      <c r="I199" s="2393">
        <v>1</v>
      </c>
      <c r="J199" s="2522"/>
      <c r="K199" s="2522"/>
      <c r="L199" s="2523"/>
      <c r="M199" s="2522"/>
      <c r="N199" s="701"/>
      <c r="O199" s="701" t="s">
        <v>22</v>
      </c>
      <c r="P199" s="882">
        <f>ROUNDUP(G199*I199,-3)</f>
        <v>1500000</v>
      </c>
      <c r="Q199" s="694"/>
      <c r="R199" s="694"/>
      <c r="S199" s="695"/>
      <c r="T199" s="696"/>
    </row>
    <row r="200" spans="1:20" ht="15" customHeight="1">
      <c r="A200" s="617"/>
      <c r="B200" s="632"/>
      <c r="C200" s="719"/>
      <c r="D200" s="632"/>
      <c r="E200" s="1143"/>
      <c r="F200" s="1415" t="s">
        <v>2664</v>
      </c>
      <c r="G200" s="2188">
        <v>250000</v>
      </c>
      <c r="H200" s="659" t="s">
        <v>21</v>
      </c>
      <c r="I200" s="2392">
        <v>2</v>
      </c>
      <c r="J200" s="2522"/>
      <c r="K200" s="2522"/>
      <c r="L200" s="2523"/>
      <c r="M200" s="2522"/>
      <c r="N200" s="701"/>
      <c r="O200" s="701" t="s">
        <v>22</v>
      </c>
      <c r="P200" s="882">
        <f>ROUNDUP(G200*I200,-3)</f>
        <v>500000</v>
      </c>
      <c r="Q200" s="694"/>
      <c r="R200" s="694"/>
      <c r="S200" s="695"/>
      <c r="T200" s="696"/>
    </row>
    <row r="201" spans="1:20" ht="15" customHeight="1">
      <c r="A201" s="617"/>
      <c r="B201" s="632"/>
      <c r="C201" s="719"/>
      <c r="D201" s="632"/>
      <c r="E201" s="1143"/>
      <c r="F201" s="1415" t="s">
        <v>2665</v>
      </c>
      <c r="G201" s="2188">
        <v>100000</v>
      </c>
      <c r="H201" s="659" t="s">
        <v>21</v>
      </c>
      <c r="I201" s="2393">
        <v>1</v>
      </c>
      <c r="J201" s="2522"/>
      <c r="K201" s="2522"/>
      <c r="L201" s="2523"/>
      <c r="M201" s="2522"/>
      <c r="N201" s="701"/>
      <c r="O201" s="701" t="s">
        <v>22</v>
      </c>
      <c r="P201" s="882">
        <f>ROUNDUP(G201*I201,-3)</f>
        <v>100000</v>
      </c>
      <c r="Q201" s="694"/>
      <c r="R201" s="694"/>
      <c r="S201" s="695"/>
      <c r="T201" s="696"/>
    </row>
    <row r="202" spans="1:20" ht="15" customHeight="1">
      <c r="A202" s="617"/>
      <c r="B202" s="632"/>
      <c r="C202" s="719"/>
      <c r="D202" s="632"/>
      <c r="E202" s="1143"/>
      <c r="F202" s="1415" t="s">
        <v>2637</v>
      </c>
      <c r="G202" s="2188">
        <v>750000</v>
      </c>
      <c r="H202" s="659" t="s">
        <v>21</v>
      </c>
      <c r="I202" s="2393">
        <v>1</v>
      </c>
      <c r="J202" s="2522"/>
      <c r="K202" s="2522"/>
      <c r="L202" s="2523"/>
      <c r="M202" s="2522"/>
      <c r="N202" s="701"/>
      <c r="O202" s="701" t="s">
        <v>22</v>
      </c>
      <c r="P202" s="882">
        <f>ROUNDUP(G202*I202,-3)</f>
        <v>750000</v>
      </c>
      <c r="Q202" s="694"/>
      <c r="R202" s="694"/>
      <c r="S202" s="695"/>
      <c r="T202" s="696"/>
    </row>
    <row r="203" spans="1:20" ht="15" customHeight="1">
      <c r="A203" s="617"/>
      <c r="B203" s="632"/>
      <c r="C203" s="719"/>
      <c r="D203" s="632"/>
      <c r="E203" s="1143"/>
      <c r="F203" s="1415" t="s">
        <v>2666</v>
      </c>
      <c r="G203" s="2188">
        <v>150000</v>
      </c>
      <c r="H203" s="659" t="s">
        <v>21</v>
      </c>
      <c r="I203" s="2393">
        <v>1</v>
      </c>
      <c r="J203" s="2522"/>
      <c r="K203" s="2522"/>
      <c r="L203" s="2523"/>
      <c r="M203" s="2522"/>
      <c r="N203" s="701"/>
      <c r="O203" s="701" t="s">
        <v>22</v>
      </c>
      <c r="P203" s="882">
        <f>ROUNDUP(G203*I203,-3)</f>
        <v>150000</v>
      </c>
      <c r="Q203" s="694"/>
      <c r="R203" s="694"/>
      <c r="S203" s="695"/>
      <c r="T203" s="696"/>
    </row>
    <row r="204" spans="1:20" ht="15" customHeight="1">
      <c r="A204" s="617"/>
      <c r="B204" s="632"/>
      <c r="C204" s="719"/>
      <c r="D204" s="632"/>
      <c r="E204" s="1143"/>
      <c r="F204" s="1507" t="s">
        <v>1378</v>
      </c>
      <c r="G204" s="686"/>
      <c r="H204" s="679"/>
      <c r="I204" s="679"/>
      <c r="J204" s="679"/>
      <c r="K204" s="679"/>
      <c r="L204" s="1508"/>
      <c r="M204" s="679"/>
      <c r="N204" s="687"/>
      <c r="O204" s="687"/>
      <c r="P204" s="681">
        <f>SUM(P205:P207)</f>
        <v>1500000</v>
      </c>
      <c r="Q204" s="653">
        <f>P204</f>
        <v>1500000</v>
      </c>
      <c r="R204" s="653">
        <v>300000</v>
      </c>
      <c r="S204" s="654">
        <f t="shared" ref="S204" si="70">Q204-R204</f>
        <v>1200000</v>
      </c>
      <c r="T204" s="655">
        <f t="shared" ref="T204" si="71">S204/R204</f>
        <v>4</v>
      </c>
    </row>
    <row r="205" spans="1:20" ht="15" customHeight="1">
      <c r="A205" s="617"/>
      <c r="B205" s="632"/>
      <c r="C205" s="719"/>
      <c r="D205" s="632"/>
      <c r="E205" s="1143"/>
      <c r="F205" s="1415" t="s">
        <v>2667</v>
      </c>
      <c r="G205" s="2188">
        <v>42500</v>
      </c>
      <c r="H205" s="659" t="s">
        <v>21</v>
      </c>
      <c r="I205" s="2396">
        <v>20</v>
      </c>
      <c r="J205" s="2522"/>
      <c r="K205" s="2522"/>
      <c r="L205" s="2523"/>
      <c r="M205" s="2522"/>
      <c r="N205" s="701"/>
      <c r="O205" s="701" t="s">
        <v>22</v>
      </c>
      <c r="P205" s="882">
        <f>ROUNDUP(G205*I205,-3)</f>
        <v>850000</v>
      </c>
      <c r="Q205" s="694"/>
      <c r="R205" s="694"/>
      <c r="S205" s="695"/>
      <c r="T205" s="696"/>
    </row>
    <row r="206" spans="1:20" ht="15" customHeight="1">
      <c r="A206" s="617"/>
      <c r="B206" s="632"/>
      <c r="C206" s="719"/>
      <c r="D206" s="632"/>
      <c r="E206" s="1143"/>
      <c r="F206" s="1415" t="s">
        <v>2668</v>
      </c>
      <c r="G206" s="2188">
        <v>500000</v>
      </c>
      <c r="H206" s="659" t="s">
        <v>21</v>
      </c>
      <c r="I206" s="2393">
        <v>1</v>
      </c>
      <c r="J206" s="2522"/>
      <c r="K206" s="2522"/>
      <c r="L206" s="2523"/>
      <c r="M206" s="2522"/>
      <c r="N206" s="701"/>
      <c r="O206" s="701" t="s">
        <v>22</v>
      </c>
      <c r="P206" s="882">
        <f>ROUNDUP(G206*I206,-3)</f>
        <v>500000</v>
      </c>
      <c r="Q206" s="694"/>
      <c r="R206" s="694"/>
      <c r="S206" s="695"/>
      <c r="T206" s="696"/>
    </row>
    <row r="207" spans="1:20" ht="15" customHeight="1">
      <c r="A207" s="617"/>
      <c r="B207" s="632"/>
      <c r="C207" s="719"/>
      <c r="D207" s="632"/>
      <c r="E207" s="1143"/>
      <c r="F207" s="1415" t="s">
        <v>2666</v>
      </c>
      <c r="G207" s="2188">
        <v>150000</v>
      </c>
      <c r="H207" s="659" t="s">
        <v>21</v>
      </c>
      <c r="I207" s="2393">
        <v>1</v>
      </c>
      <c r="J207" s="2522"/>
      <c r="K207" s="2522"/>
      <c r="L207" s="2523"/>
      <c r="M207" s="2522"/>
      <c r="N207" s="701"/>
      <c r="O207" s="701" t="s">
        <v>22</v>
      </c>
      <c r="P207" s="882">
        <f>ROUNDUP(G207*I207,-3)</f>
        <v>150000</v>
      </c>
      <c r="Q207" s="694"/>
      <c r="R207" s="694"/>
      <c r="S207" s="695"/>
      <c r="T207" s="696"/>
    </row>
    <row r="208" spans="1:20" ht="15" customHeight="1">
      <c r="A208" s="617"/>
      <c r="B208" s="632"/>
      <c r="C208" s="719"/>
      <c r="D208" s="632"/>
      <c r="E208" s="1143"/>
      <c r="F208" s="1507" t="s">
        <v>1380</v>
      </c>
      <c r="G208" s="686"/>
      <c r="H208" s="679"/>
      <c r="I208" s="679"/>
      <c r="J208" s="679"/>
      <c r="K208" s="679"/>
      <c r="L208" s="1508"/>
      <c r="M208" s="679"/>
      <c r="N208" s="687"/>
      <c r="O208" s="687"/>
      <c r="P208" s="681">
        <f>SUM(P209,P214,P219)</f>
        <v>5320000</v>
      </c>
      <c r="Q208" s="653">
        <f>P208</f>
        <v>5320000</v>
      </c>
      <c r="R208" s="653">
        <v>7100000</v>
      </c>
      <c r="S208" s="654">
        <f t="shared" ref="S208" si="72">Q208-R208</f>
        <v>-1780000</v>
      </c>
      <c r="T208" s="655">
        <f t="shared" ref="T208" si="73">S208/R208</f>
        <v>-0.25070422535211268</v>
      </c>
    </row>
    <row r="209" spans="1:20" ht="15" customHeight="1">
      <c r="A209" s="617"/>
      <c r="B209" s="632"/>
      <c r="C209" s="719"/>
      <c r="D209" s="632"/>
      <c r="E209" s="1143"/>
      <c r="F209" s="1415" t="s">
        <v>2669</v>
      </c>
      <c r="G209" s="2188"/>
      <c r="H209" s="659"/>
      <c r="I209" s="2392"/>
      <c r="J209" s="659"/>
      <c r="K209" s="659"/>
      <c r="L209" s="2397"/>
      <c r="M209" s="659"/>
      <c r="N209" s="664"/>
      <c r="O209" s="664"/>
      <c r="P209" s="2395">
        <f>SUM(P210:P213)</f>
        <v>1000000</v>
      </c>
      <c r="Q209" s="694"/>
      <c r="R209" s="694"/>
      <c r="S209" s="695"/>
      <c r="T209" s="696"/>
    </row>
    <row r="210" spans="1:20" ht="15" customHeight="1">
      <c r="A210" s="617"/>
      <c r="B210" s="632"/>
      <c r="C210" s="719"/>
      <c r="D210" s="632"/>
      <c r="E210" s="1143"/>
      <c r="F210" s="1415" t="s">
        <v>2670</v>
      </c>
      <c r="G210" s="2188">
        <v>130000</v>
      </c>
      <c r="H210" s="659" t="s">
        <v>21</v>
      </c>
      <c r="I210" s="2392">
        <v>4</v>
      </c>
      <c r="J210" s="659"/>
      <c r="K210" s="659"/>
      <c r="L210" s="2397"/>
      <c r="M210" s="659"/>
      <c r="N210" s="664"/>
      <c r="O210" s="664" t="s">
        <v>22</v>
      </c>
      <c r="P210" s="882">
        <f>ROUNDUP(G210*I210,-3)</f>
        <v>520000</v>
      </c>
      <c r="Q210" s="694"/>
      <c r="R210" s="694"/>
      <c r="S210" s="695"/>
      <c r="T210" s="696"/>
    </row>
    <row r="211" spans="1:20" ht="15" customHeight="1">
      <c r="A211" s="617"/>
      <c r="B211" s="632"/>
      <c r="C211" s="719"/>
      <c r="D211" s="632"/>
      <c r="E211" s="1143"/>
      <c r="F211" s="1415" t="s">
        <v>2671</v>
      </c>
      <c r="G211" s="2188">
        <v>5000</v>
      </c>
      <c r="H211" s="659" t="s">
        <v>21</v>
      </c>
      <c r="I211" s="2394">
        <v>20</v>
      </c>
      <c r="J211" s="659" t="s">
        <v>21</v>
      </c>
      <c r="K211" s="2392">
        <v>4</v>
      </c>
      <c r="L211" s="2397"/>
      <c r="M211" s="659"/>
      <c r="N211" s="664"/>
      <c r="O211" s="664" t="s">
        <v>22</v>
      </c>
      <c r="P211" s="882">
        <f>ROUNDUP(G211*I211*K211,-3)</f>
        <v>400000</v>
      </c>
      <c r="Q211" s="694"/>
      <c r="R211" s="694"/>
      <c r="S211" s="695"/>
      <c r="T211" s="696"/>
    </row>
    <row r="212" spans="1:20" ht="15" customHeight="1">
      <c r="A212" s="617"/>
      <c r="B212" s="632"/>
      <c r="C212" s="719"/>
      <c r="D212" s="632"/>
      <c r="E212" s="1143"/>
      <c r="F212" s="1415" t="s">
        <v>2672</v>
      </c>
      <c r="G212" s="2188">
        <v>50000</v>
      </c>
      <c r="H212" s="659" t="s">
        <v>21</v>
      </c>
      <c r="I212" s="2393">
        <v>1</v>
      </c>
      <c r="J212" s="659"/>
      <c r="K212" s="659"/>
      <c r="L212" s="2397"/>
      <c r="M212" s="659"/>
      <c r="N212" s="664"/>
      <c r="O212" s="664" t="s">
        <v>22</v>
      </c>
      <c r="P212" s="882">
        <f>ROUNDUP(G212*I212,-3)</f>
        <v>50000</v>
      </c>
      <c r="Q212" s="694"/>
      <c r="R212" s="694"/>
      <c r="S212" s="695"/>
      <c r="T212" s="696"/>
    </row>
    <row r="213" spans="1:20" ht="15" customHeight="1">
      <c r="A213" s="617"/>
      <c r="B213" s="632"/>
      <c r="C213" s="719"/>
      <c r="D213" s="632"/>
      <c r="E213" s="1143"/>
      <c r="F213" s="1415" t="s">
        <v>2673</v>
      </c>
      <c r="G213" s="2188">
        <v>30000</v>
      </c>
      <c r="H213" s="659" t="s">
        <v>21</v>
      </c>
      <c r="I213" s="2393">
        <v>1</v>
      </c>
      <c r="J213" s="659"/>
      <c r="K213" s="659"/>
      <c r="L213" s="2397"/>
      <c r="M213" s="659"/>
      <c r="N213" s="664"/>
      <c r="O213" s="664" t="s">
        <v>22</v>
      </c>
      <c r="P213" s="882">
        <f>ROUNDUP(G213*I213,-3)</f>
        <v>30000</v>
      </c>
      <c r="Q213" s="694"/>
      <c r="R213" s="694"/>
      <c r="S213" s="695"/>
      <c r="T213" s="696"/>
    </row>
    <row r="214" spans="1:20" ht="15" customHeight="1">
      <c r="A214" s="617"/>
      <c r="B214" s="632"/>
      <c r="C214" s="719"/>
      <c r="D214" s="632"/>
      <c r="E214" s="1143"/>
      <c r="F214" s="1415" t="s">
        <v>2674</v>
      </c>
      <c r="G214" s="2188"/>
      <c r="H214" s="659"/>
      <c r="I214" s="2392"/>
      <c r="J214" s="659"/>
      <c r="K214" s="659"/>
      <c r="L214" s="2397"/>
      <c r="M214" s="659"/>
      <c r="N214" s="664"/>
      <c r="O214" s="664"/>
      <c r="P214" s="2395">
        <f>SUM(P215:P218)</f>
        <v>1620000</v>
      </c>
      <c r="Q214" s="694"/>
      <c r="R214" s="694"/>
      <c r="S214" s="695"/>
      <c r="T214" s="696"/>
    </row>
    <row r="215" spans="1:20" ht="15" customHeight="1">
      <c r="A215" s="617"/>
      <c r="B215" s="632"/>
      <c r="C215" s="719"/>
      <c r="D215" s="632"/>
      <c r="E215" s="1143"/>
      <c r="F215" s="1415" t="s">
        <v>2670</v>
      </c>
      <c r="G215" s="2188">
        <v>130000</v>
      </c>
      <c r="H215" s="659" t="s">
        <v>21</v>
      </c>
      <c r="I215" s="2392">
        <v>8</v>
      </c>
      <c r="J215" s="659"/>
      <c r="K215" s="659"/>
      <c r="L215" s="2397"/>
      <c r="M215" s="659"/>
      <c r="N215" s="664"/>
      <c r="O215" s="664" t="s">
        <v>22</v>
      </c>
      <c r="P215" s="882">
        <f>ROUNDUP(G215*I215,-3)</f>
        <v>1040000</v>
      </c>
      <c r="Q215" s="694"/>
      <c r="R215" s="694"/>
      <c r="S215" s="695"/>
      <c r="T215" s="696"/>
    </row>
    <row r="216" spans="1:20" ht="15" customHeight="1">
      <c r="A216" s="617"/>
      <c r="B216" s="632"/>
      <c r="C216" s="719"/>
      <c r="D216" s="632"/>
      <c r="E216" s="1143"/>
      <c r="F216" s="1415" t="s">
        <v>2673</v>
      </c>
      <c r="G216" s="2188">
        <v>25000</v>
      </c>
      <c r="H216" s="659" t="s">
        <v>21</v>
      </c>
      <c r="I216" s="2392">
        <v>4</v>
      </c>
      <c r="J216" s="659"/>
      <c r="K216" s="659"/>
      <c r="L216" s="2397"/>
      <c r="M216" s="659"/>
      <c r="N216" s="664"/>
      <c r="O216" s="664" t="s">
        <v>22</v>
      </c>
      <c r="P216" s="882">
        <f>ROUNDUP(G216*I216,-3)</f>
        <v>100000</v>
      </c>
      <c r="Q216" s="694"/>
      <c r="R216" s="694"/>
      <c r="S216" s="695"/>
      <c r="T216" s="696"/>
    </row>
    <row r="217" spans="1:20" ht="15" customHeight="1">
      <c r="A217" s="617"/>
      <c r="B217" s="632"/>
      <c r="C217" s="719"/>
      <c r="D217" s="632"/>
      <c r="E217" s="1143"/>
      <c r="F217" s="1415" t="s">
        <v>2671</v>
      </c>
      <c r="G217" s="2188">
        <v>6000</v>
      </c>
      <c r="H217" s="659" t="s">
        <v>21</v>
      </c>
      <c r="I217" s="2394">
        <v>15</v>
      </c>
      <c r="J217" s="659" t="s">
        <v>21</v>
      </c>
      <c r="K217" s="2398">
        <v>2</v>
      </c>
      <c r="L217" s="2397"/>
      <c r="M217" s="659"/>
      <c r="N217" s="664"/>
      <c r="O217" s="664" t="s">
        <v>22</v>
      </c>
      <c r="P217" s="882">
        <f>ROUNDUP(G217*I217*K217,-3)</f>
        <v>180000</v>
      </c>
      <c r="Q217" s="694"/>
      <c r="R217" s="694"/>
      <c r="S217" s="695"/>
      <c r="T217" s="696"/>
    </row>
    <row r="218" spans="1:20" ht="15" customHeight="1">
      <c r="A218" s="617"/>
      <c r="B218" s="632"/>
      <c r="C218" s="719"/>
      <c r="D218" s="632"/>
      <c r="E218" s="1143"/>
      <c r="F218" s="1415" t="s">
        <v>2675</v>
      </c>
      <c r="G218" s="2188">
        <v>300000</v>
      </c>
      <c r="H218" s="659" t="s">
        <v>21</v>
      </c>
      <c r="I218" s="2393">
        <v>1</v>
      </c>
      <c r="J218" s="659"/>
      <c r="K218" s="659"/>
      <c r="L218" s="2397"/>
      <c r="M218" s="659"/>
      <c r="N218" s="664"/>
      <c r="O218" s="664" t="s">
        <v>22</v>
      </c>
      <c r="P218" s="882">
        <f>ROUNDUP(G218*I218,-3)</f>
        <v>300000</v>
      </c>
      <c r="Q218" s="694"/>
      <c r="R218" s="694"/>
      <c r="S218" s="695"/>
      <c r="T218" s="696"/>
    </row>
    <row r="219" spans="1:20" ht="15" customHeight="1">
      <c r="A219" s="617"/>
      <c r="B219" s="632"/>
      <c r="C219" s="719"/>
      <c r="D219" s="632"/>
      <c r="E219" s="1143"/>
      <c r="F219" s="1415" t="s">
        <v>2676</v>
      </c>
      <c r="G219" s="2188"/>
      <c r="H219" s="659"/>
      <c r="I219" s="2392"/>
      <c r="J219" s="659"/>
      <c r="K219" s="659"/>
      <c r="L219" s="2397"/>
      <c r="M219" s="659"/>
      <c r="N219" s="664"/>
      <c r="O219" s="664"/>
      <c r="P219" s="2395">
        <f>SUM(P220:P224)</f>
        <v>2700000</v>
      </c>
      <c r="Q219" s="694"/>
      <c r="R219" s="694"/>
      <c r="S219" s="695"/>
      <c r="T219" s="696"/>
    </row>
    <row r="220" spans="1:20" ht="15" customHeight="1">
      <c r="A220" s="759"/>
      <c r="B220" s="703"/>
      <c r="C220" s="619"/>
      <c r="D220" s="703"/>
      <c r="E220" s="3318"/>
      <c r="F220" s="1442" t="s">
        <v>2670</v>
      </c>
      <c r="G220" s="2418">
        <v>130000</v>
      </c>
      <c r="H220" s="2419" t="s">
        <v>21</v>
      </c>
      <c r="I220" s="2420">
        <v>8</v>
      </c>
      <c r="J220" s="2419"/>
      <c r="K220" s="2419"/>
      <c r="L220" s="2421"/>
      <c r="M220" s="2419"/>
      <c r="N220" s="2422"/>
      <c r="O220" s="2422" t="s">
        <v>22</v>
      </c>
      <c r="P220" s="896">
        <f>ROUNDUP(G220*I220,-3)</f>
        <v>1040000</v>
      </c>
      <c r="Q220" s="712"/>
      <c r="R220" s="712"/>
      <c r="S220" s="713"/>
      <c r="T220" s="714"/>
    </row>
    <row r="221" spans="1:20" ht="15" customHeight="1">
      <c r="A221" s="617"/>
      <c r="B221" s="632"/>
      <c r="C221" s="719"/>
      <c r="D221" s="632"/>
      <c r="E221" s="1143"/>
      <c r="F221" s="1415" t="s">
        <v>2677</v>
      </c>
      <c r="G221" s="2188">
        <v>70000</v>
      </c>
      <c r="H221" s="659" t="s">
        <v>21</v>
      </c>
      <c r="I221" s="2392">
        <v>8</v>
      </c>
      <c r="J221" s="659"/>
      <c r="K221" s="659"/>
      <c r="L221" s="2397"/>
      <c r="M221" s="659"/>
      <c r="N221" s="664"/>
      <c r="O221" s="664" t="s">
        <v>22</v>
      </c>
      <c r="P221" s="882">
        <f>ROUNDUP(G221*I221,-3)</f>
        <v>560000</v>
      </c>
      <c r="Q221" s="694"/>
      <c r="R221" s="694"/>
      <c r="S221" s="695"/>
      <c r="T221" s="696"/>
    </row>
    <row r="222" spans="1:20" ht="15" customHeight="1">
      <c r="A222" s="617"/>
      <c r="B222" s="632"/>
      <c r="C222" s="719"/>
      <c r="D222" s="632"/>
      <c r="E222" s="1143"/>
      <c r="F222" s="1415" t="s">
        <v>2678</v>
      </c>
      <c r="G222" s="2188">
        <v>12500</v>
      </c>
      <c r="H222" s="659" t="s">
        <v>21</v>
      </c>
      <c r="I222" s="2392">
        <v>8</v>
      </c>
      <c r="J222" s="659"/>
      <c r="K222" s="659"/>
      <c r="L222" s="2397"/>
      <c r="M222" s="659"/>
      <c r="N222" s="664"/>
      <c r="O222" s="664" t="s">
        <v>22</v>
      </c>
      <c r="P222" s="882">
        <f>ROUNDUP(G222*I222,-3)</f>
        <v>100000</v>
      </c>
      <c r="Q222" s="694"/>
      <c r="R222" s="694"/>
      <c r="S222" s="695"/>
      <c r="T222" s="696"/>
    </row>
    <row r="223" spans="1:20" ht="15" customHeight="1">
      <c r="A223" s="617"/>
      <c r="B223" s="632"/>
      <c r="C223" s="719"/>
      <c r="D223" s="632"/>
      <c r="E223" s="1143"/>
      <c r="F223" s="1415" t="s">
        <v>2679</v>
      </c>
      <c r="G223" s="2188">
        <v>5000</v>
      </c>
      <c r="H223" s="659" t="s">
        <v>21</v>
      </c>
      <c r="I223" s="2394">
        <v>20</v>
      </c>
      <c r="J223" s="659" t="s">
        <v>21</v>
      </c>
      <c r="K223" s="2398">
        <v>2</v>
      </c>
      <c r="L223" s="659" t="s">
        <v>21</v>
      </c>
      <c r="M223" s="2392">
        <v>4</v>
      </c>
      <c r="N223" s="664"/>
      <c r="O223" s="664" t="s">
        <v>22</v>
      </c>
      <c r="P223" s="882">
        <f>ROUNDUP(G223*I223*K223*M223,-3)</f>
        <v>800000</v>
      </c>
      <c r="Q223" s="694"/>
      <c r="R223" s="694"/>
      <c r="S223" s="695"/>
      <c r="T223" s="696"/>
    </row>
    <row r="224" spans="1:20" ht="15" customHeight="1">
      <c r="A224" s="617"/>
      <c r="B224" s="632"/>
      <c r="C224" s="719"/>
      <c r="D224" s="632"/>
      <c r="E224" s="1143"/>
      <c r="F224" s="1415" t="s">
        <v>2680</v>
      </c>
      <c r="G224" s="2188">
        <v>200000</v>
      </c>
      <c r="H224" s="659" t="s">
        <v>21</v>
      </c>
      <c r="I224" s="2393">
        <v>1</v>
      </c>
      <c r="J224" s="659"/>
      <c r="K224" s="659"/>
      <c r="L224" s="2397"/>
      <c r="M224" s="659"/>
      <c r="N224" s="664"/>
      <c r="O224" s="664" t="s">
        <v>22</v>
      </c>
      <c r="P224" s="882">
        <f>ROUNDUP(G224*I224,-3)</f>
        <v>200000</v>
      </c>
      <c r="Q224" s="694"/>
      <c r="R224" s="694"/>
      <c r="S224" s="695"/>
      <c r="T224" s="696"/>
    </row>
    <row r="225" spans="1:22" ht="15" customHeight="1">
      <c r="A225" s="617"/>
      <c r="B225" s="632"/>
      <c r="C225" s="719"/>
      <c r="D225" s="632"/>
      <c r="E225" s="1143"/>
      <c r="F225" s="1507" t="s">
        <v>1381</v>
      </c>
      <c r="G225" s="686"/>
      <c r="H225" s="679"/>
      <c r="I225" s="679"/>
      <c r="J225" s="679"/>
      <c r="K225" s="679"/>
      <c r="L225" s="1508"/>
      <c r="M225" s="679"/>
      <c r="N225" s="687"/>
      <c r="O225" s="687"/>
      <c r="P225" s="681">
        <f>SUM(P226,P231,P235)</f>
        <v>5372000</v>
      </c>
      <c r="Q225" s="653">
        <f>P225</f>
        <v>5372000</v>
      </c>
      <c r="R225" s="653">
        <v>2700000</v>
      </c>
      <c r="S225" s="654">
        <f t="shared" ref="S225" si="74">Q225-R225</f>
        <v>2672000</v>
      </c>
      <c r="T225" s="655">
        <f t="shared" ref="T225" si="75">S225/R225</f>
        <v>0.98962962962962964</v>
      </c>
    </row>
    <row r="226" spans="1:22" ht="15" customHeight="1">
      <c r="A226" s="617"/>
      <c r="B226" s="632"/>
      <c r="C226" s="719"/>
      <c r="D226" s="632"/>
      <c r="E226" s="1143"/>
      <c r="F226" s="1511" t="s">
        <v>2681</v>
      </c>
      <c r="G226" s="1552"/>
      <c r="H226" s="1168"/>
      <c r="I226" s="2291"/>
      <c r="J226" s="1168"/>
      <c r="K226" s="1168"/>
      <c r="L226" s="1554"/>
      <c r="M226" s="1168"/>
      <c r="N226" s="692"/>
      <c r="O226" s="692"/>
      <c r="P226" s="2395">
        <f>SUM(P227:P230)</f>
        <v>1000000</v>
      </c>
      <c r="Q226" s="694"/>
      <c r="R226" s="694"/>
      <c r="S226" s="695"/>
      <c r="T226" s="696"/>
    </row>
    <row r="227" spans="1:22" ht="15" customHeight="1">
      <c r="A227" s="617"/>
      <c r="B227" s="632"/>
      <c r="C227" s="719"/>
      <c r="D227" s="632"/>
      <c r="E227" s="1143"/>
      <c r="F227" s="1511" t="s">
        <v>2682</v>
      </c>
      <c r="G227" s="1552">
        <v>150000</v>
      </c>
      <c r="H227" s="1168" t="s">
        <v>21</v>
      </c>
      <c r="I227" s="2361">
        <v>2</v>
      </c>
      <c r="J227" s="1168"/>
      <c r="K227" s="1168"/>
      <c r="L227" s="1554"/>
      <c r="M227" s="1168"/>
      <c r="N227" s="692"/>
      <c r="O227" s="692" t="s">
        <v>22</v>
      </c>
      <c r="P227" s="882">
        <f>ROUNDUP(G227*I227,-3)</f>
        <v>300000</v>
      </c>
      <c r="Q227" s="694"/>
      <c r="R227" s="694"/>
      <c r="S227" s="695"/>
      <c r="T227" s="696"/>
    </row>
    <row r="228" spans="1:22" ht="15" customHeight="1">
      <c r="A228" s="617"/>
      <c r="B228" s="632"/>
      <c r="C228" s="719"/>
      <c r="D228" s="632"/>
      <c r="E228" s="1143"/>
      <c r="F228" s="1511" t="s">
        <v>2683</v>
      </c>
      <c r="G228" s="1552">
        <v>400000</v>
      </c>
      <c r="H228" s="1168" t="s">
        <v>21</v>
      </c>
      <c r="I228" s="1553">
        <v>1</v>
      </c>
      <c r="J228" s="1168"/>
      <c r="K228" s="1168"/>
      <c r="L228" s="1554"/>
      <c r="M228" s="1168"/>
      <c r="N228" s="692"/>
      <c r="O228" s="692" t="s">
        <v>22</v>
      </c>
      <c r="P228" s="882">
        <f>ROUNDUP(G228*I228,-3)</f>
        <v>400000</v>
      </c>
      <c r="Q228" s="694"/>
      <c r="R228" s="694"/>
      <c r="S228" s="695"/>
      <c r="T228" s="696"/>
    </row>
    <row r="229" spans="1:22" ht="15" customHeight="1">
      <c r="A229" s="617"/>
      <c r="B229" s="632"/>
      <c r="C229" s="719"/>
      <c r="D229" s="632"/>
      <c r="E229" s="1143"/>
      <c r="F229" s="1511" t="s">
        <v>2672</v>
      </c>
      <c r="G229" s="1552">
        <v>100000</v>
      </c>
      <c r="H229" s="1168" t="s">
        <v>21</v>
      </c>
      <c r="I229" s="1553">
        <v>1</v>
      </c>
      <c r="J229" s="1168"/>
      <c r="K229" s="1168"/>
      <c r="L229" s="1554"/>
      <c r="M229" s="1168"/>
      <c r="N229" s="692"/>
      <c r="O229" s="692" t="s">
        <v>22</v>
      </c>
      <c r="P229" s="882">
        <f>ROUNDUP(G229*I229,-3)</f>
        <v>100000</v>
      </c>
      <c r="Q229" s="694"/>
      <c r="R229" s="694"/>
      <c r="S229" s="695"/>
      <c r="T229" s="696"/>
    </row>
    <row r="230" spans="1:22" ht="15" customHeight="1">
      <c r="A230" s="617"/>
      <c r="B230" s="632"/>
      <c r="C230" s="719"/>
      <c r="D230" s="632"/>
      <c r="E230" s="1143"/>
      <c r="F230" s="1511" t="s">
        <v>2684</v>
      </c>
      <c r="G230" s="1552">
        <v>200000</v>
      </c>
      <c r="H230" s="1168" t="s">
        <v>21</v>
      </c>
      <c r="I230" s="1553">
        <v>1</v>
      </c>
      <c r="J230" s="1168"/>
      <c r="K230" s="1168"/>
      <c r="L230" s="1554"/>
      <c r="M230" s="1168"/>
      <c r="N230" s="692"/>
      <c r="O230" s="692" t="s">
        <v>22</v>
      </c>
      <c r="P230" s="882">
        <f>ROUNDUP(G230*I230,-3)</f>
        <v>200000</v>
      </c>
      <c r="Q230" s="694"/>
      <c r="R230" s="694"/>
      <c r="S230" s="695"/>
      <c r="T230" s="696"/>
    </row>
    <row r="231" spans="1:22" ht="15" customHeight="1">
      <c r="A231" s="617"/>
      <c r="B231" s="632"/>
      <c r="C231" s="719"/>
      <c r="D231" s="632"/>
      <c r="E231" s="1143"/>
      <c r="F231" s="1415" t="s">
        <v>2685</v>
      </c>
      <c r="G231" s="2188"/>
      <c r="H231" s="659"/>
      <c r="I231" s="2392"/>
      <c r="J231" s="659"/>
      <c r="K231" s="659"/>
      <c r="L231" s="2397"/>
      <c r="M231" s="659"/>
      <c r="N231" s="664"/>
      <c r="O231" s="664"/>
      <c r="P231" s="2395">
        <f>SUM(P232:P234)</f>
        <v>2200000</v>
      </c>
      <c r="Q231" s="694"/>
      <c r="R231" s="694"/>
      <c r="S231" s="695"/>
      <c r="T231" s="696"/>
    </row>
    <row r="232" spans="1:22" ht="15" customHeight="1">
      <c r="A232" s="617"/>
      <c r="B232" s="632"/>
      <c r="C232" s="719"/>
      <c r="D232" s="632"/>
      <c r="E232" s="1143"/>
      <c r="F232" s="1415" t="s">
        <v>2686</v>
      </c>
      <c r="G232" s="2188">
        <v>120000</v>
      </c>
      <c r="H232" s="659" t="s">
        <v>21</v>
      </c>
      <c r="I232" s="2394">
        <v>6</v>
      </c>
      <c r="J232" s="659"/>
      <c r="K232" s="659"/>
      <c r="L232" s="2397"/>
      <c r="M232" s="659"/>
      <c r="N232" s="664"/>
      <c r="O232" s="664" t="s">
        <v>22</v>
      </c>
      <c r="P232" s="882">
        <f>ROUNDUP(G232*I232,-3)</f>
        <v>720000</v>
      </c>
      <c r="Q232" s="694"/>
      <c r="R232" s="694"/>
      <c r="S232" s="695"/>
      <c r="T232" s="696"/>
    </row>
    <row r="233" spans="1:22" ht="15" customHeight="1">
      <c r="A233" s="617"/>
      <c r="B233" s="632"/>
      <c r="C233" s="719"/>
      <c r="D233" s="632"/>
      <c r="E233" s="1143"/>
      <c r="F233" s="1415" t="s">
        <v>2687</v>
      </c>
      <c r="G233" s="2188">
        <v>1300000</v>
      </c>
      <c r="H233" s="659" t="s">
        <v>21</v>
      </c>
      <c r="I233" s="2392">
        <v>1</v>
      </c>
      <c r="J233" s="659"/>
      <c r="K233" s="659"/>
      <c r="L233" s="2397"/>
      <c r="M233" s="659"/>
      <c r="N233" s="664"/>
      <c r="O233" s="664" t="s">
        <v>22</v>
      </c>
      <c r="P233" s="882">
        <f>ROUNDUP(G233*I233,-3)</f>
        <v>1300000</v>
      </c>
      <c r="Q233" s="694"/>
      <c r="R233" s="694"/>
      <c r="S233" s="695"/>
      <c r="T233" s="696"/>
    </row>
    <row r="234" spans="1:22" ht="15" customHeight="1">
      <c r="A234" s="617"/>
      <c r="B234" s="632"/>
      <c r="C234" s="719"/>
      <c r="D234" s="632"/>
      <c r="E234" s="1143"/>
      <c r="F234" s="1415" t="s">
        <v>2688</v>
      </c>
      <c r="G234" s="2188">
        <v>180000</v>
      </c>
      <c r="H234" s="659" t="s">
        <v>21</v>
      </c>
      <c r="I234" s="2393">
        <v>1</v>
      </c>
      <c r="J234" s="659"/>
      <c r="K234" s="659"/>
      <c r="L234" s="2397"/>
      <c r="M234" s="659"/>
      <c r="N234" s="664"/>
      <c r="O234" s="664" t="s">
        <v>22</v>
      </c>
      <c r="P234" s="882">
        <f>ROUNDUP(G234*I234,-3)</f>
        <v>180000</v>
      </c>
      <c r="Q234" s="694"/>
      <c r="R234" s="694"/>
      <c r="S234" s="695"/>
      <c r="T234" s="696"/>
    </row>
    <row r="235" spans="1:22" ht="15" customHeight="1">
      <c r="A235" s="617"/>
      <c r="B235" s="632"/>
      <c r="C235" s="641"/>
      <c r="D235" s="632"/>
      <c r="E235" s="1143"/>
      <c r="F235" s="1415" t="s">
        <v>2689</v>
      </c>
      <c r="G235" s="2188"/>
      <c r="H235" s="659"/>
      <c r="I235" s="2392"/>
      <c r="J235" s="659"/>
      <c r="K235" s="659"/>
      <c r="L235" s="2397"/>
      <c r="M235" s="659"/>
      <c r="N235" s="664"/>
      <c r="O235" s="664"/>
      <c r="P235" s="2395">
        <f>SUM(P236:P239)</f>
        <v>2172000</v>
      </c>
      <c r="Q235" s="694"/>
      <c r="R235" s="694"/>
      <c r="S235" s="695"/>
      <c r="T235" s="696"/>
    </row>
    <row r="236" spans="1:22" ht="15" customHeight="1">
      <c r="A236" s="617"/>
      <c r="B236" s="632"/>
      <c r="C236" s="641"/>
      <c r="D236" s="632"/>
      <c r="E236" s="1143"/>
      <c r="F236" s="1415" t="s">
        <v>2690</v>
      </c>
      <c r="G236" s="2188">
        <v>80000</v>
      </c>
      <c r="H236" s="659" t="s">
        <v>21</v>
      </c>
      <c r="I236" s="2394">
        <v>5</v>
      </c>
      <c r="J236" s="659"/>
      <c r="K236" s="659"/>
      <c r="L236" s="2397"/>
      <c r="M236" s="659"/>
      <c r="N236" s="664"/>
      <c r="O236" s="664" t="s">
        <v>22</v>
      </c>
      <c r="P236" s="882">
        <f>ROUNDUP(G236*I236,-3)</f>
        <v>400000</v>
      </c>
      <c r="Q236" s="694"/>
      <c r="R236" s="694"/>
      <c r="S236" s="695"/>
      <c r="T236" s="696"/>
    </row>
    <row r="237" spans="1:22" ht="15" customHeight="1">
      <c r="A237" s="617"/>
      <c r="B237" s="632"/>
      <c r="C237" s="641"/>
      <c r="D237" s="632"/>
      <c r="E237" s="1143"/>
      <c r="F237" s="1415" t="s">
        <v>2684</v>
      </c>
      <c r="G237" s="2188">
        <v>1272000</v>
      </c>
      <c r="H237" s="659" t="s">
        <v>21</v>
      </c>
      <c r="I237" s="2392">
        <v>1</v>
      </c>
      <c r="J237" s="659"/>
      <c r="K237" s="659"/>
      <c r="L237" s="2397"/>
      <c r="M237" s="659"/>
      <c r="N237" s="664"/>
      <c r="O237" s="664" t="s">
        <v>22</v>
      </c>
      <c r="P237" s="693">
        <f>ROUNDUP(G237*I237,-3)</f>
        <v>1272000</v>
      </c>
      <c r="Q237" s="666"/>
      <c r="R237" s="666"/>
      <c r="S237" s="667"/>
      <c r="T237" s="668"/>
    </row>
    <row r="238" spans="1:22" ht="15" customHeight="1">
      <c r="A238" s="617"/>
      <c r="B238" s="632"/>
      <c r="C238" s="641"/>
      <c r="D238" s="632"/>
      <c r="E238" s="1143"/>
      <c r="F238" s="1415" t="s">
        <v>2691</v>
      </c>
      <c r="G238" s="2188">
        <v>200000</v>
      </c>
      <c r="H238" s="659" t="s">
        <v>21</v>
      </c>
      <c r="I238" s="2393">
        <v>1</v>
      </c>
      <c r="J238" s="659"/>
      <c r="K238" s="659"/>
      <c r="L238" s="2397"/>
      <c r="M238" s="659"/>
      <c r="N238" s="664"/>
      <c r="O238" s="664" t="s">
        <v>22</v>
      </c>
      <c r="P238" s="882">
        <f>ROUNDUP(G238*I238,-3)</f>
        <v>200000</v>
      </c>
      <c r="Q238" s="694"/>
      <c r="R238" s="694"/>
      <c r="S238" s="695"/>
      <c r="T238" s="696"/>
      <c r="V238" s="2090"/>
    </row>
    <row r="239" spans="1:22" ht="15" customHeight="1">
      <c r="A239" s="617"/>
      <c r="B239" s="632"/>
      <c r="C239" s="618"/>
      <c r="D239" s="703"/>
      <c r="E239" s="726"/>
      <c r="F239" s="2399" t="s">
        <v>2692</v>
      </c>
      <c r="G239" s="2400">
        <v>300000</v>
      </c>
      <c r="H239" s="2401" t="s">
        <v>21</v>
      </c>
      <c r="I239" s="2402">
        <v>1</v>
      </c>
      <c r="J239" s="2401"/>
      <c r="K239" s="2401"/>
      <c r="L239" s="2401"/>
      <c r="M239" s="2401"/>
      <c r="N239" s="2403"/>
      <c r="O239" s="2403" t="s">
        <v>22</v>
      </c>
      <c r="P239" s="2404">
        <f>G239*I239</f>
        <v>300000</v>
      </c>
      <c r="Q239" s="623"/>
      <c r="R239" s="2405"/>
      <c r="S239" s="624"/>
      <c r="T239" s="2210"/>
    </row>
    <row r="240" spans="1:22" ht="15" customHeight="1">
      <c r="A240" s="617"/>
      <c r="B240" s="632"/>
      <c r="C240" s="3657" t="s">
        <v>207</v>
      </c>
      <c r="D240" s="3658"/>
      <c r="E240" s="3658"/>
      <c r="F240" s="3658"/>
      <c r="G240" s="3658"/>
      <c r="H240" s="3658"/>
      <c r="I240" s="3658"/>
      <c r="J240" s="3658"/>
      <c r="K240" s="3658"/>
      <c r="L240" s="3658"/>
      <c r="M240" s="3658"/>
      <c r="N240" s="3658"/>
      <c r="O240" s="3658"/>
      <c r="P240" s="3659"/>
      <c r="Q240" s="623">
        <f>Q241+Q269+Q261</f>
        <v>23230000</v>
      </c>
      <c r="R240" s="623">
        <f>R241+R269</f>
        <v>16790000</v>
      </c>
      <c r="S240" s="624">
        <f>Q240-R240</f>
        <v>6440000</v>
      </c>
      <c r="T240" s="625">
        <f>S240/R240</f>
        <v>0.38356164383561642</v>
      </c>
    </row>
    <row r="241" spans="1:22" ht="15" customHeight="1">
      <c r="A241" s="617"/>
      <c r="B241" s="632"/>
      <c r="C241" s="719"/>
      <c r="D241" s="2406" t="s">
        <v>54</v>
      </c>
      <c r="E241" s="3369"/>
      <c r="F241" s="2407"/>
      <c r="G241" s="2408"/>
      <c r="H241" s="2406"/>
      <c r="I241" s="2406"/>
      <c r="J241" s="2406"/>
      <c r="K241" s="2406"/>
      <c r="L241" s="2409"/>
      <c r="M241" s="2406"/>
      <c r="N241" s="2410"/>
      <c r="O241" s="2410"/>
      <c r="P241" s="2406"/>
      <c r="Q241" s="1940">
        <f>Q242+Q251+Q252+Q244+Q247+Q253</f>
        <v>5802000</v>
      </c>
      <c r="R241" s="1940">
        <f>R242+R251+R252+R244+R247+R253</f>
        <v>16790000</v>
      </c>
      <c r="S241" s="2411">
        <f>Q241-R241</f>
        <v>-10988000</v>
      </c>
      <c r="T241" s="2412">
        <f>S241/R241</f>
        <v>-0.65443716497915427</v>
      </c>
    </row>
    <row r="242" spans="1:22" ht="15" customHeight="1">
      <c r="A242" s="617"/>
      <c r="B242" s="632"/>
      <c r="C242" s="719"/>
      <c r="D242" s="632"/>
      <c r="E242" s="3637" t="s">
        <v>55</v>
      </c>
      <c r="F242" s="3638"/>
      <c r="G242" s="3638"/>
      <c r="H242" s="3638"/>
      <c r="I242" s="3638"/>
      <c r="J242" s="3638"/>
      <c r="K242" s="3638"/>
      <c r="L242" s="3638"/>
      <c r="M242" s="3638"/>
      <c r="N242" s="3638"/>
      <c r="O242" s="3638"/>
      <c r="P242" s="3639"/>
      <c r="Q242" s="645">
        <f>P243</f>
        <v>0</v>
      </c>
      <c r="R242" s="645">
        <v>10030000</v>
      </c>
      <c r="S242" s="646">
        <f>Q242-R242</f>
        <v>-10030000</v>
      </c>
      <c r="T242" s="647">
        <f>S242/R242</f>
        <v>-1</v>
      </c>
    </row>
    <row r="243" spans="1:22" ht="15" customHeight="1">
      <c r="A243" s="617"/>
      <c r="B243" s="632"/>
      <c r="C243" s="719"/>
      <c r="D243" s="632"/>
      <c r="E243" s="1143"/>
      <c r="F243" s="1507" t="s">
        <v>750</v>
      </c>
      <c r="G243" s="686"/>
      <c r="H243" s="679"/>
      <c r="I243" s="679"/>
      <c r="J243" s="679"/>
      <c r="K243" s="679"/>
      <c r="L243" s="1508"/>
      <c r="M243" s="679"/>
      <c r="N243" s="687"/>
      <c r="O243" s="687"/>
      <c r="P243" s="681">
        <v>0</v>
      </c>
      <c r="Q243" s="653">
        <f>P243</f>
        <v>0</v>
      </c>
      <c r="R243" s="653">
        <v>10030000</v>
      </c>
      <c r="S243" s="654">
        <f t="shared" ref="S243" si="76">Q243-R243</f>
        <v>-10030000</v>
      </c>
      <c r="T243" s="655">
        <f t="shared" ref="T243" si="77">S243/R243</f>
        <v>-1</v>
      </c>
    </row>
    <row r="244" spans="1:22" ht="15" customHeight="1">
      <c r="A244" s="617"/>
      <c r="B244" s="632"/>
      <c r="C244" s="719"/>
      <c r="D244" s="632"/>
      <c r="E244" s="3637" t="s">
        <v>194</v>
      </c>
      <c r="F244" s="3638"/>
      <c r="G244" s="3638"/>
      <c r="H244" s="3638"/>
      <c r="I244" s="3638"/>
      <c r="J244" s="3638"/>
      <c r="K244" s="3638"/>
      <c r="L244" s="3638"/>
      <c r="M244" s="3638"/>
      <c r="N244" s="3638"/>
      <c r="O244" s="3638"/>
      <c r="P244" s="3639"/>
      <c r="Q244" s="645">
        <f>P245</f>
        <v>1800000</v>
      </c>
      <c r="R244" s="645">
        <v>0</v>
      </c>
      <c r="S244" s="646">
        <f>Q244-R244</f>
        <v>1800000</v>
      </c>
      <c r="T244" s="647"/>
    </row>
    <row r="245" spans="1:22" ht="15" customHeight="1">
      <c r="A245" s="617"/>
      <c r="B245" s="632"/>
      <c r="C245" s="719"/>
      <c r="D245" s="632"/>
      <c r="F245" s="1507" t="s">
        <v>94</v>
      </c>
      <c r="G245" s="686"/>
      <c r="H245" s="679"/>
      <c r="I245" s="679"/>
      <c r="J245" s="679"/>
      <c r="K245" s="679"/>
      <c r="L245" s="679"/>
      <c r="M245" s="687"/>
      <c r="N245" s="687"/>
      <c r="O245" s="687"/>
      <c r="P245" s="681">
        <f>SUM(P246:P246)</f>
        <v>1800000</v>
      </c>
      <c r="Q245" s="653">
        <f>P245</f>
        <v>1800000</v>
      </c>
      <c r="R245" s="653">
        <v>0</v>
      </c>
      <c r="S245" s="654">
        <f t="shared" ref="S245" si="78">Q245-R245</f>
        <v>1800000</v>
      </c>
      <c r="T245" s="655"/>
    </row>
    <row r="246" spans="1:22" ht="15" customHeight="1">
      <c r="A246" s="617"/>
      <c r="B246" s="632"/>
      <c r="C246" s="719"/>
      <c r="D246" s="632"/>
      <c r="E246" s="3358"/>
      <c r="F246" s="1511" t="s">
        <v>1347</v>
      </c>
      <c r="G246" s="880">
        <v>900000</v>
      </c>
      <c r="H246" s="2522" t="s">
        <v>21</v>
      </c>
      <c r="I246" s="877">
        <v>2</v>
      </c>
      <c r="J246" s="2522"/>
      <c r="K246" s="881"/>
      <c r="L246" s="881"/>
      <c r="M246" s="701"/>
      <c r="N246" s="701"/>
      <c r="O246" s="701" t="s">
        <v>22</v>
      </c>
      <c r="P246" s="1422">
        <f>G246*I246</f>
        <v>1800000</v>
      </c>
      <c r="Q246" s="694"/>
      <c r="R246" s="694"/>
      <c r="S246" s="695"/>
      <c r="T246" s="696"/>
    </row>
    <row r="247" spans="1:22" s="963" customFormat="1" ht="15" customHeight="1">
      <c r="A247" s="617"/>
      <c r="B247" s="632"/>
      <c r="C247" s="719"/>
      <c r="D247" s="632"/>
      <c r="E247" s="3637" t="s">
        <v>3080</v>
      </c>
      <c r="F247" s="3638"/>
      <c r="G247" s="3638"/>
      <c r="H247" s="3638"/>
      <c r="I247" s="3638"/>
      <c r="J247" s="3638"/>
      <c r="K247" s="3638"/>
      <c r="L247" s="3638"/>
      <c r="M247" s="3638"/>
      <c r="N247" s="3638"/>
      <c r="O247" s="3638"/>
      <c r="P247" s="3639"/>
      <c r="Q247" s="645">
        <f>P248</f>
        <v>1902000</v>
      </c>
      <c r="R247" s="645">
        <v>0</v>
      </c>
      <c r="S247" s="646">
        <f>Q247-R247</f>
        <v>1902000</v>
      </c>
      <c r="T247" s="647"/>
    </row>
    <row r="248" spans="1:22" s="963" customFormat="1" ht="15" customHeight="1">
      <c r="A248" s="617"/>
      <c r="B248" s="632"/>
      <c r="C248" s="719"/>
      <c r="D248" s="632"/>
      <c r="E248" s="1139"/>
      <c r="F248" s="1507" t="s">
        <v>471</v>
      </c>
      <c r="G248" s="686"/>
      <c r="H248" s="679"/>
      <c r="I248" s="679"/>
      <c r="J248" s="679"/>
      <c r="K248" s="679"/>
      <c r="L248" s="1508"/>
      <c r="M248" s="679"/>
      <c r="N248" s="687"/>
      <c r="O248" s="687"/>
      <c r="P248" s="681">
        <f>SUM(P249:P250)</f>
        <v>1902000</v>
      </c>
      <c r="Q248" s="653">
        <f>P248</f>
        <v>1902000</v>
      </c>
      <c r="R248" s="653">
        <v>0</v>
      </c>
      <c r="S248" s="654">
        <f t="shared" ref="S248" si="79">Q248-R248</f>
        <v>1902000</v>
      </c>
      <c r="T248" s="655"/>
    </row>
    <row r="249" spans="1:22" s="963" customFormat="1" ht="15" customHeight="1">
      <c r="A249" s="617"/>
      <c r="B249" s="632"/>
      <c r="C249" s="719"/>
      <c r="D249" s="632"/>
      <c r="E249" s="1139"/>
      <c r="F249" s="1511" t="s">
        <v>1348</v>
      </c>
      <c r="G249" s="880">
        <v>121000</v>
      </c>
      <c r="H249" s="2522" t="s">
        <v>21</v>
      </c>
      <c r="I249" s="878">
        <v>12</v>
      </c>
      <c r="J249" s="2522"/>
      <c r="K249" s="881"/>
      <c r="L249" s="1510"/>
      <c r="M249" s="881"/>
      <c r="N249" s="701"/>
      <c r="O249" s="701" t="s">
        <v>22</v>
      </c>
      <c r="P249" s="882">
        <f>ROUNDUP(G249*I249,-3)</f>
        <v>1452000</v>
      </c>
      <c r="Q249" s="694"/>
      <c r="R249" s="694"/>
      <c r="S249" s="695"/>
      <c r="T249" s="696"/>
    </row>
    <row r="250" spans="1:22" s="963" customFormat="1" ht="15" customHeight="1">
      <c r="A250" s="617"/>
      <c r="B250" s="632"/>
      <c r="C250" s="719"/>
      <c r="D250" s="632"/>
      <c r="E250" s="3313"/>
      <c r="F250" s="1531" t="s">
        <v>472</v>
      </c>
      <c r="G250" s="893">
        <v>450000</v>
      </c>
      <c r="H250" s="709" t="s">
        <v>21</v>
      </c>
      <c r="I250" s="894">
        <v>1</v>
      </c>
      <c r="J250" s="709"/>
      <c r="K250" s="895"/>
      <c r="L250" s="1532"/>
      <c r="M250" s="895"/>
      <c r="N250" s="710"/>
      <c r="O250" s="710" t="s">
        <v>22</v>
      </c>
      <c r="P250" s="896">
        <f>ROUNDUP(G250*I250,-3)</f>
        <v>450000</v>
      </c>
      <c r="Q250" s="712"/>
      <c r="R250" s="712"/>
      <c r="S250" s="713"/>
      <c r="T250" s="714"/>
    </row>
    <row r="251" spans="1:22" ht="15" customHeight="1">
      <c r="A251" s="617"/>
      <c r="B251" s="632"/>
      <c r="C251" s="719"/>
      <c r="D251" s="632"/>
      <c r="E251" s="3637" t="s">
        <v>3079</v>
      </c>
      <c r="F251" s="3638"/>
      <c r="G251" s="3638"/>
      <c r="H251" s="3638"/>
      <c r="I251" s="3638"/>
      <c r="J251" s="3638"/>
      <c r="K251" s="3638"/>
      <c r="L251" s="3638"/>
      <c r="M251" s="3638"/>
      <c r="N251" s="3638"/>
      <c r="O251" s="3638"/>
      <c r="P251" s="3639"/>
      <c r="Q251" s="645">
        <v>0</v>
      </c>
      <c r="R251" s="645">
        <v>4200000</v>
      </c>
      <c r="S251" s="646">
        <f>Q251-R251</f>
        <v>-4200000</v>
      </c>
      <c r="T251" s="647">
        <f>S251/R251</f>
        <v>-1</v>
      </c>
      <c r="V251" s="1651"/>
    </row>
    <row r="252" spans="1:22" ht="15" customHeight="1">
      <c r="A252" s="617"/>
      <c r="B252" s="632"/>
      <c r="C252" s="719"/>
      <c r="D252" s="632"/>
      <c r="E252" s="3637" t="s">
        <v>3078</v>
      </c>
      <c r="F252" s="3638"/>
      <c r="G252" s="3638"/>
      <c r="H252" s="3638"/>
      <c r="I252" s="3638"/>
      <c r="J252" s="3638"/>
      <c r="K252" s="3638"/>
      <c r="L252" s="3638"/>
      <c r="M252" s="3638"/>
      <c r="N252" s="3638"/>
      <c r="O252" s="3638"/>
      <c r="P252" s="3639"/>
      <c r="Q252" s="645">
        <v>0</v>
      </c>
      <c r="R252" s="645">
        <v>2560000</v>
      </c>
      <c r="S252" s="646">
        <f>Q252-R252</f>
        <v>-2560000</v>
      </c>
      <c r="T252" s="647">
        <f>S252/R252</f>
        <v>-1</v>
      </c>
    </row>
    <row r="253" spans="1:22" s="963" customFormat="1" ht="15" customHeight="1">
      <c r="A253" s="617"/>
      <c r="B253" s="632"/>
      <c r="C253" s="719"/>
      <c r="D253" s="632"/>
      <c r="E253" s="3637" t="s">
        <v>3077</v>
      </c>
      <c r="F253" s="3638"/>
      <c r="G253" s="3638"/>
      <c r="H253" s="3638"/>
      <c r="I253" s="3638"/>
      <c r="J253" s="3638"/>
      <c r="K253" s="3638"/>
      <c r="L253" s="3638"/>
      <c r="M253" s="3638"/>
      <c r="N253" s="3638"/>
      <c r="O253" s="3638"/>
      <c r="P253" s="3639"/>
      <c r="Q253" s="1049">
        <f>P254+P256</f>
        <v>2100000</v>
      </c>
      <c r="R253" s="1049">
        <v>0</v>
      </c>
      <c r="S253" s="1050">
        <f>Q253-R253</f>
        <v>2100000</v>
      </c>
      <c r="T253" s="1051"/>
    </row>
    <row r="254" spans="1:22" s="963" customFormat="1" ht="15" customHeight="1">
      <c r="A254" s="617"/>
      <c r="B254" s="632"/>
      <c r="C254" s="719"/>
      <c r="D254" s="632"/>
      <c r="E254" s="1143"/>
      <c r="F254" s="1507" t="s">
        <v>1349</v>
      </c>
      <c r="G254" s="686"/>
      <c r="H254" s="679"/>
      <c r="I254" s="679"/>
      <c r="J254" s="679"/>
      <c r="K254" s="679"/>
      <c r="L254" s="1508"/>
      <c r="M254" s="679"/>
      <c r="N254" s="687"/>
      <c r="O254" s="687"/>
      <c r="P254" s="681">
        <f>SUM(P255:P255)</f>
        <v>1200000</v>
      </c>
      <c r="Q254" s="653">
        <f>P254</f>
        <v>1200000</v>
      </c>
      <c r="R254" s="653">
        <v>0</v>
      </c>
      <c r="S254" s="654">
        <f>Q254-R254</f>
        <v>1200000</v>
      </c>
      <c r="T254" s="655"/>
    </row>
    <row r="255" spans="1:22" s="963" customFormat="1" ht="15" customHeight="1">
      <c r="A255" s="617"/>
      <c r="B255" s="632"/>
      <c r="C255" s="719"/>
      <c r="D255" s="632"/>
      <c r="E255" s="3306"/>
      <c r="F255" s="1511" t="s">
        <v>1350</v>
      </c>
      <c r="G255" s="880">
        <v>150000</v>
      </c>
      <c r="H255" s="2522" t="s">
        <v>21</v>
      </c>
      <c r="I255" s="876">
        <v>8</v>
      </c>
      <c r="J255" s="2522"/>
      <c r="K255" s="881"/>
      <c r="L255" s="1510"/>
      <c r="M255" s="881"/>
      <c r="N255" s="701"/>
      <c r="O255" s="701" t="s">
        <v>22</v>
      </c>
      <c r="P255" s="882">
        <f>ROUNDUP(G255*I255,-3)</f>
        <v>1200000</v>
      </c>
      <c r="Q255" s="694"/>
      <c r="R255" s="694"/>
      <c r="S255" s="695"/>
      <c r="T255" s="696"/>
    </row>
    <row r="256" spans="1:22" s="963" customFormat="1" ht="15" customHeight="1">
      <c r="A256" s="617"/>
      <c r="B256" s="632"/>
      <c r="C256" s="719"/>
      <c r="D256" s="632"/>
      <c r="E256" s="1143"/>
      <c r="F256" s="1507" t="s">
        <v>1351</v>
      </c>
      <c r="G256" s="686"/>
      <c r="H256" s="679"/>
      <c r="I256" s="679"/>
      <c r="J256" s="679"/>
      <c r="K256" s="679"/>
      <c r="L256" s="1508"/>
      <c r="M256" s="679"/>
      <c r="N256" s="687"/>
      <c r="O256" s="687"/>
      <c r="P256" s="681">
        <f>SUM(P257:P257)</f>
        <v>900000</v>
      </c>
      <c r="Q256" s="653">
        <f>P256</f>
        <v>900000</v>
      </c>
      <c r="R256" s="653">
        <v>0</v>
      </c>
      <c r="S256" s="654">
        <f>Q256-R256</f>
        <v>900000</v>
      </c>
      <c r="T256" s="655"/>
    </row>
    <row r="257" spans="1:20" s="963" customFormat="1" ht="15" customHeight="1">
      <c r="A257" s="759"/>
      <c r="B257" s="703"/>
      <c r="C257" s="619"/>
      <c r="D257" s="703"/>
      <c r="E257" s="3508"/>
      <c r="F257" s="1531" t="s">
        <v>1352</v>
      </c>
      <c r="G257" s="1534">
        <v>900000</v>
      </c>
      <c r="H257" s="1136" t="s">
        <v>21</v>
      </c>
      <c r="I257" s="1557">
        <v>1</v>
      </c>
      <c r="J257" s="1136"/>
      <c r="K257" s="1536"/>
      <c r="L257" s="1535"/>
      <c r="M257" s="1536"/>
      <c r="N257" s="1537"/>
      <c r="O257" s="1537" t="s">
        <v>22</v>
      </c>
      <c r="P257" s="1560">
        <f>ROUNDUP(G257*I257,-3)</f>
        <v>900000</v>
      </c>
      <c r="Q257" s="1561"/>
      <c r="R257" s="1561"/>
      <c r="S257" s="1562"/>
      <c r="T257" s="1563"/>
    </row>
    <row r="258" spans="1:20" s="1137" customFormat="1" ht="15" customHeight="1">
      <c r="A258" s="2383"/>
      <c r="B258" s="1139"/>
      <c r="C258" s="1139"/>
      <c r="D258" s="1139"/>
      <c r="E258" s="3763" t="s">
        <v>3076</v>
      </c>
      <c r="F258" s="3764"/>
      <c r="G258" s="3764"/>
      <c r="H258" s="3764"/>
      <c r="I258" s="3764"/>
      <c r="J258" s="3764"/>
      <c r="K258" s="3764"/>
      <c r="L258" s="3764"/>
      <c r="M258" s="3764"/>
      <c r="N258" s="3764"/>
      <c r="O258" s="3764"/>
      <c r="P258" s="3765"/>
      <c r="Q258" s="1538">
        <f>+P259</f>
        <v>1200000</v>
      </c>
      <c r="R258" s="1538">
        <v>0</v>
      </c>
      <c r="S258" s="1539">
        <f>Q258-R258</f>
        <v>1200000</v>
      </c>
      <c r="T258" s="1051"/>
    </row>
    <row r="259" spans="1:20" s="1137" customFormat="1" ht="15" customHeight="1">
      <c r="A259" s="2383"/>
      <c r="B259" s="1139"/>
      <c r="C259" s="1139"/>
      <c r="D259" s="1139"/>
      <c r="E259" s="3367"/>
      <c r="F259" s="1507" t="s">
        <v>1353</v>
      </c>
      <c r="G259" s="686"/>
      <c r="H259" s="679"/>
      <c r="I259" s="679"/>
      <c r="J259" s="679"/>
      <c r="K259" s="679"/>
      <c r="L259" s="1508"/>
      <c r="M259" s="679"/>
      <c r="N259" s="687"/>
      <c r="O259" s="687"/>
      <c r="P259" s="681">
        <f>SUM(P260:P260)</f>
        <v>1200000</v>
      </c>
      <c r="Q259" s="653">
        <f>P259</f>
        <v>1200000</v>
      </c>
      <c r="R259" s="653">
        <v>0</v>
      </c>
      <c r="S259" s="654">
        <f t="shared" ref="S259" si="80">Q259-R259</f>
        <v>1200000</v>
      </c>
      <c r="T259" s="655"/>
    </row>
    <row r="260" spans="1:20" s="1137" customFormat="1" ht="15" customHeight="1">
      <c r="A260" s="2383"/>
      <c r="B260" s="1139"/>
      <c r="C260" s="1139"/>
      <c r="D260" s="1139"/>
      <c r="E260" s="3368"/>
      <c r="F260" s="1511" t="s">
        <v>1355</v>
      </c>
      <c r="G260" s="1568">
        <v>600000</v>
      </c>
      <c r="H260" s="1168" t="s">
        <v>21</v>
      </c>
      <c r="I260" s="2291">
        <v>2</v>
      </c>
      <c r="J260" s="2522"/>
      <c r="K260" s="877"/>
      <c r="L260" s="1510"/>
      <c r="M260" s="881"/>
      <c r="N260" s="701"/>
      <c r="O260" s="701" t="s">
        <v>22</v>
      </c>
      <c r="P260" s="882">
        <f>G260*I260</f>
        <v>1200000</v>
      </c>
      <c r="Q260" s="694"/>
      <c r="R260" s="694"/>
      <c r="S260" s="695"/>
      <c r="T260" s="696"/>
    </row>
    <row r="261" spans="1:20" s="1137" customFormat="1" ht="15" customHeight="1">
      <c r="A261" s="1166"/>
      <c r="B261" s="1139"/>
      <c r="C261" s="1168"/>
      <c r="D261" s="1934" t="s">
        <v>1244</v>
      </c>
      <c r="E261" s="3344"/>
      <c r="F261" s="1935"/>
      <c r="G261" s="1936"/>
      <c r="H261" s="1937"/>
      <c r="I261" s="1937"/>
      <c r="J261" s="1937"/>
      <c r="K261" s="1937"/>
      <c r="L261" s="1938"/>
      <c r="M261" s="1937"/>
      <c r="N261" s="1939"/>
      <c r="O261" s="1939"/>
      <c r="P261" s="1937"/>
      <c r="Q261" s="1940">
        <f>Q262</f>
        <v>5000000</v>
      </c>
      <c r="R261" s="1940">
        <f>R262</f>
        <v>0</v>
      </c>
      <c r="S261" s="1942">
        <f>Q261-R261</f>
        <v>5000000</v>
      </c>
      <c r="T261" s="1943"/>
    </row>
    <row r="262" spans="1:20" ht="15" customHeight="1">
      <c r="A262" s="617"/>
      <c r="B262" s="632"/>
      <c r="C262" s="719"/>
      <c r="D262" s="632"/>
      <c r="E262" s="3637" t="s">
        <v>3075</v>
      </c>
      <c r="F262" s="3638"/>
      <c r="G262" s="3638"/>
      <c r="H262" s="3638"/>
      <c r="I262" s="3638"/>
      <c r="J262" s="3638"/>
      <c r="K262" s="3638"/>
      <c r="L262" s="3638"/>
      <c r="M262" s="3638"/>
      <c r="N262" s="3638"/>
      <c r="O262" s="3638"/>
      <c r="P262" s="3639"/>
      <c r="Q262" s="645">
        <f>Q263</f>
        <v>5000000</v>
      </c>
      <c r="R262" s="645">
        <f>R263</f>
        <v>0</v>
      </c>
      <c r="S262" s="646">
        <f>Q262-R262</f>
        <v>5000000</v>
      </c>
      <c r="T262" s="647"/>
    </row>
    <row r="263" spans="1:20" ht="15" customHeight="1">
      <c r="A263" s="617"/>
      <c r="B263" s="632"/>
      <c r="C263" s="719"/>
      <c r="D263" s="632"/>
      <c r="F263" s="1507" t="s">
        <v>1356</v>
      </c>
      <c r="G263" s="686"/>
      <c r="H263" s="679"/>
      <c r="I263" s="679"/>
      <c r="J263" s="679"/>
      <c r="K263" s="679"/>
      <c r="L263" s="1508"/>
      <c r="M263" s="679"/>
      <c r="N263" s="687"/>
      <c r="O263" s="687"/>
      <c r="P263" s="681">
        <f>P265+P266+P268</f>
        <v>5000000</v>
      </c>
      <c r="Q263" s="653">
        <f>P263</f>
        <v>5000000</v>
      </c>
      <c r="R263" s="653">
        <v>0</v>
      </c>
      <c r="S263" s="654">
        <f t="shared" ref="S263" si="81">Q263-R263</f>
        <v>5000000</v>
      </c>
      <c r="T263" s="655"/>
    </row>
    <row r="264" spans="1:20" ht="15" customHeight="1">
      <c r="A264" s="617"/>
      <c r="B264" s="632"/>
      <c r="C264" s="719"/>
      <c r="D264" s="632"/>
      <c r="F264" s="1415" t="s">
        <v>2596</v>
      </c>
      <c r="G264" s="2105"/>
      <c r="H264" s="659"/>
      <c r="I264" s="2413"/>
      <c r="J264" s="2554"/>
      <c r="K264" s="1419"/>
      <c r="L264" s="1420"/>
      <c r="M264" s="1419"/>
      <c r="N264" s="1421"/>
      <c r="O264" s="1421"/>
      <c r="P264" s="1422"/>
      <c r="Q264" s="694"/>
      <c r="R264" s="694"/>
      <c r="S264" s="695"/>
      <c r="T264" s="696"/>
    </row>
    <row r="265" spans="1:20" ht="15" customHeight="1">
      <c r="A265" s="617"/>
      <c r="B265" s="632"/>
      <c r="C265" s="719"/>
      <c r="D265" s="632"/>
      <c r="F265" s="1415" t="s">
        <v>2597</v>
      </c>
      <c r="G265" s="2105">
        <v>150000</v>
      </c>
      <c r="H265" s="659" t="s">
        <v>21</v>
      </c>
      <c r="I265" s="2396">
        <v>10</v>
      </c>
      <c r="J265" s="2554"/>
      <c r="K265" s="1419"/>
      <c r="L265" s="1420"/>
      <c r="M265" s="1419"/>
      <c r="N265" s="1421"/>
      <c r="O265" s="1421" t="s">
        <v>22</v>
      </c>
      <c r="P265" s="1422">
        <f>ROUNDUP(G265*I265,-3)</f>
        <v>1500000</v>
      </c>
      <c r="Q265" s="694"/>
      <c r="R265" s="694"/>
      <c r="S265" s="695"/>
      <c r="T265" s="696"/>
    </row>
    <row r="266" spans="1:20" ht="15" customHeight="1">
      <c r="A266" s="617"/>
      <c r="B266" s="632"/>
      <c r="C266" s="719"/>
      <c r="D266" s="632"/>
      <c r="F266" s="1415" t="s">
        <v>2598</v>
      </c>
      <c r="G266" s="2105">
        <v>115000</v>
      </c>
      <c r="H266" s="659" t="s">
        <v>21</v>
      </c>
      <c r="I266" s="2396">
        <v>20</v>
      </c>
      <c r="J266" s="659"/>
      <c r="K266" s="2414"/>
      <c r="L266" s="2415"/>
      <c r="M266" s="2414"/>
      <c r="N266" s="664"/>
      <c r="O266" s="664" t="s">
        <v>22</v>
      </c>
      <c r="P266" s="665">
        <f>ROUNDUP(G266*I266,-3)</f>
        <v>2300000</v>
      </c>
      <c r="Q266" s="666"/>
      <c r="R266" s="666"/>
      <c r="S266" s="667"/>
      <c r="T266" s="668"/>
    </row>
    <row r="267" spans="1:20" ht="15" customHeight="1">
      <c r="A267" s="617"/>
      <c r="B267" s="632"/>
      <c r="C267" s="719"/>
      <c r="D267" s="632"/>
      <c r="E267" s="3358"/>
      <c r="F267" s="1415" t="s">
        <v>2600</v>
      </c>
      <c r="G267" s="2105"/>
      <c r="H267" s="659"/>
      <c r="I267" s="2393"/>
      <c r="J267" s="2554"/>
      <c r="K267" s="1419"/>
      <c r="L267" s="1420"/>
      <c r="M267" s="1419"/>
      <c r="N267" s="1421"/>
      <c r="O267" s="1421"/>
      <c r="P267" s="1422"/>
      <c r="Q267" s="694"/>
      <c r="R267" s="694"/>
      <c r="S267" s="695"/>
      <c r="T267" s="696"/>
    </row>
    <row r="268" spans="1:20" ht="15" customHeight="1">
      <c r="A268" s="617"/>
      <c r="B268" s="632"/>
      <c r="C268" s="719"/>
      <c r="D268" s="632"/>
      <c r="E268" s="3358"/>
      <c r="F268" s="1415" t="s">
        <v>2599</v>
      </c>
      <c r="G268" s="2105">
        <v>1200000</v>
      </c>
      <c r="H268" s="659" t="s">
        <v>21</v>
      </c>
      <c r="I268" s="2416">
        <v>1</v>
      </c>
      <c r="J268" s="2554"/>
      <c r="K268" s="1419"/>
      <c r="L268" s="1420"/>
      <c r="M268" s="1419"/>
      <c r="N268" s="1421"/>
      <c r="O268" s="1421" t="s">
        <v>22</v>
      </c>
      <c r="P268" s="1422">
        <f>ROUNDUP(G268*I268,-3)</f>
        <v>1200000</v>
      </c>
      <c r="Q268" s="712"/>
      <c r="R268" s="712"/>
      <c r="S268" s="713"/>
      <c r="T268" s="714"/>
    </row>
    <row r="269" spans="1:20" s="1137" customFormat="1" ht="14.25" customHeight="1">
      <c r="A269" s="1166"/>
      <c r="B269" s="1139"/>
      <c r="C269" s="1346"/>
      <c r="D269" s="1144" t="s">
        <v>1245</v>
      </c>
      <c r="E269" s="3296"/>
      <c r="F269" s="1373"/>
      <c r="G269" s="1146"/>
      <c r="H269" s="1145"/>
      <c r="I269" s="1145"/>
      <c r="J269" s="1145"/>
      <c r="K269" s="1145"/>
      <c r="L269" s="1374"/>
      <c r="M269" s="1145"/>
      <c r="N269" s="1147"/>
      <c r="O269" s="1147"/>
      <c r="P269" s="1145"/>
      <c r="Q269" s="1148">
        <f>Q270+Q274</f>
        <v>12428000</v>
      </c>
      <c r="R269" s="1148">
        <f>R270+R274</f>
        <v>0</v>
      </c>
      <c r="S269" s="1149">
        <f>Q269-R269</f>
        <v>12428000</v>
      </c>
      <c r="T269" s="1376"/>
    </row>
    <row r="270" spans="1:20" s="1137" customFormat="1" ht="15" customHeight="1">
      <c r="A270" s="1166"/>
      <c r="B270" s="1139"/>
      <c r="C270" s="1346"/>
      <c r="D270" s="1139"/>
      <c r="E270" s="3637" t="s">
        <v>3074</v>
      </c>
      <c r="F270" s="3638"/>
      <c r="G270" s="3638"/>
      <c r="H270" s="3638"/>
      <c r="I270" s="3638"/>
      <c r="J270" s="3638"/>
      <c r="K270" s="3638"/>
      <c r="L270" s="3638"/>
      <c r="M270" s="3638"/>
      <c r="N270" s="3638"/>
      <c r="O270" s="3638"/>
      <c r="P270" s="3639"/>
      <c r="Q270" s="1154">
        <f>P271</f>
        <v>10000000</v>
      </c>
      <c r="R270" s="1154">
        <v>0</v>
      </c>
      <c r="S270" s="1155">
        <f t="shared" ref="S270:S271" si="82">Q270-R270</f>
        <v>10000000</v>
      </c>
      <c r="T270" s="2246"/>
    </row>
    <row r="271" spans="1:20" s="1137" customFormat="1" ht="15" customHeight="1">
      <c r="A271" s="1166"/>
      <c r="B271" s="1139"/>
      <c r="C271" s="1346"/>
      <c r="D271" s="1139"/>
      <c r="E271" s="1143"/>
      <c r="F271" s="1507" t="s">
        <v>1386</v>
      </c>
      <c r="G271" s="686"/>
      <c r="H271" s="679"/>
      <c r="I271" s="679"/>
      <c r="J271" s="679"/>
      <c r="K271" s="679"/>
      <c r="L271" s="1508"/>
      <c r="M271" s="679"/>
      <c r="N271" s="687"/>
      <c r="O271" s="687"/>
      <c r="P271" s="681">
        <f>SUM(P272:P272)</f>
        <v>10000000</v>
      </c>
      <c r="Q271" s="653">
        <f>P271</f>
        <v>10000000</v>
      </c>
      <c r="R271" s="653">
        <v>0</v>
      </c>
      <c r="S271" s="654">
        <f t="shared" si="82"/>
        <v>10000000</v>
      </c>
      <c r="T271" s="655"/>
    </row>
    <row r="272" spans="1:20" s="1137" customFormat="1" ht="15" customHeight="1">
      <c r="A272" s="1166"/>
      <c r="B272" s="1139"/>
      <c r="C272" s="1346"/>
      <c r="D272" s="1139"/>
      <c r="E272" s="1143"/>
      <c r="F272" s="1511" t="s">
        <v>2693</v>
      </c>
      <c r="G272" s="1552">
        <v>1000000</v>
      </c>
      <c r="H272" s="1168" t="s">
        <v>21</v>
      </c>
      <c r="I272" s="2417">
        <v>10</v>
      </c>
      <c r="J272" s="2522"/>
      <c r="K272" s="2522"/>
      <c r="L272" s="2523"/>
      <c r="M272" s="2522"/>
      <c r="N272" s="701"/>
      <c r="O272" s="701" t="s">
        <v>22</v>
      </c>
      <c r="P272" s="882">
        <f>ROUNDUP(G272*I272,-3)</f>
        <v>10000000</v>
      </c>
      <c r="Q272" s="694"/>
      <c r="R272" s="694"/>
      <c r="S272" s="695"/>
      <c r="T272" s="696"/>
    </row>
    <row r="273" spans="1:22" s="1137" customFormat="1" ht="15" hidden="1" customHeight="1">
      <c r="A273" s="1166"/>
      <c r="B273" s="1139"/>
      <c r="C273" s="1346"/>
      <c r="D273" s="1139"/>
      <c r="E273" s="3284" t="s">
        <v>1387</v>
      </c>
      <c r="F273" s="1286"/>
      <c r="G273" s="1152"/>
      <c r="H273" s="1151"/>
      <c r="I273" s="1151"/>
      <c r="J273" s="1151"/>
      <c r="K273" s="1151"/>
      <c r="L273" s="1287"/>
      <c r="M273" s="1151"/>
      <c r="N273" s="1153"/>
      <c r="O273" s="1153"/>
      <c r="P273" s="1151"/>
      <c r="Q273" s="1154"/>
      <c r="R273" s="1154"/>
      <c r="S273" s="1155">
        <f>Q273-R273</f>
        <v>0</v>
      </c>
      <c r="T273" s="2246"/>
    </row>
    <row r="274" spans="1:22" s="1137" customFormat="1" ht="15" customHeight="1">
      <c r="A274" s="1166"/>
      <c r="B274" s="1139"/>
      <c r="C274" s="1346"/>
      <c r="D274" s="1139"/>
      <c r="E274" s="3637" t="s">
        <v>3022</v>
      </c>
      <c r="F274" s="3638"/>
      <c r="G274" s="3638"/>
      <c r="H274" s="3638"/>
      <c r="I274" s="3638"/>
      <c r="J274" s="3638"/>
      <c r="K274" s="3638"/>
      <c r="L274" s="3638"/>
      <c r="M274" s="3638"/>
      <c r="N274" s="3638"/>
      <c r="O274" s="3638"/>
      <c r="P274" s="3639"/>
      <c r="Q274" s="1154">
        <f>P275+P277</f>
        <v>2428000</v>
      </c>
      <c r="R274" s="1154">
        <v>0</v>
      </c>
      <c r="S274" s="1155">
        <f>Q274-R274</f>
        <v>2428000</v>
      </c>
      <c r="T274" s="2246"/>
    </row>
    <row r="275" spans="1:22" s="1137" customFormat="1" ht="15" customHeight="1">
      <c r="A275" s="1166"/>
      <c r="B275" s="1139"/>
      <c r="C275" s="1346"/>
      <c r="D275" s="1139"/>
      <c r="E275" s="1143"/>
      <c r="F275" s="1507" t="s">
        <v>1388</v>
      </c>
      <c r="G275" s="686"/>
      <c r="H275" s="679"/>
      <c r="I275" s="679"/>
      <c r="J275" s="679"/>
      <c r="K275" s="679"/>
      <c r="L275" s="1508"/>
      <c r="M275" s="679"/>
      <c r="N275" s="687"/>
      <c r="O275" s="687"/>
      <c r="P275" s="681">
        <f>SUM(P276:P276)</f>
        <v>1200000</v>
      </c>
      <c r="Q275" s="653">
        <f>P275</f>
        <v>1200000</v>
      </c>
      <c r="R275" s="653">
        <v>0</v>
      </c>
      <c r="S275" s="654">
        <f t="shared" ref="S275" si="83">Q275-R275</f>
        <v>1200000</v>
      </c>
      <c r="T275" s="655"/>
    </row>
    <row r="276" spans="1:22" s="1137" customFormat="1" ht="15" customHeight="1">
      <c r="A276" s="1166"/>
      <c r="B276" s="1139"/>
      <c r="C276" s="1346"/>
      <c r="D276" s="1139"/>
      <c r="E276" s="725"/>
      <c r="F276" s="1511" t="s">
        <v>1389</v>
      </c>
      <c r="G276" s="702">
        <v>150000</v>
      </c>
      <c r="H276" s="2522" t="s">
        <v>21</v>
      </c>
      <c r="I276" s="877">
        <v>8</v>
      </c>
      <c r="J276" s="2522"/>
      <c r="K276" s="2522"/>
      <c r="L276" s="2523"/>
      <c r="M276" s="2522"/>
      <c r="N276" s="701"/>
      <c r="O276" s="701" t="s">
        <v>22</v>
      </c>
      <c r="P276" s="882">
        <f>ROUNDUP(G276*I276,-3)</f>
        <v>1200000</v>
      </c>
      <c r="Q276" s="694"/>
      <c r="R276" s="694"/>
      <c r="S276" s="695"/>
      <c r="T276" s="696"/>
    </row>
    <row r="277" spans="1:22" ht="15" customHeight="1">
      <c r="A277" s="617"/>
      <c r="B277" s="632"/>
      <c r="C277" s="1346"/>
      <c r="D277" s="1139"/>
      <c r="F277" s="1507" t="s">
        <v>1381</v>
      </c>
      <c r="G277" s="686"/>
      <c r="H277" s="679"/>
      <c r="I277" s="679"/>
      <c r="J277" s="679"/>
      <c r="K277" s="679"/>
      <c r="L277" s="1508"/>
      <c r="M277" s="679"/>
      <c r="N277" s="687"/>
      <c r="O277" s="687"/>
      <c r="P277" s="681">
        <f>P279</f>
        <v>1228000</v>
      </c>
      <c r="Q277" s="653">
        <f>P277</f>
        <v>1228000</v>
      </c>
      <c r="R277" s="653">
        <v>0</v>
      </c>
      <c r="S277" s="654">
        <f t="shared" ref="S277" si="84">Q277-R277</f>
        <v>1228000</v>
      </c>
      <c r="T277" s="655">
        <v>0</v>
      </c>
    </row>
    <row r="278" spans="1:22" s="1137" customFormat="1" ht="15" customHeight="1">
      <c r="A278" s="1166"/>
      <c r="B278" s="1139"/>
      <c r="C278" s="1346"/>
      <c r="D278" s="1139"/>
      <c r="E278" s="725"/>
      <c r="F278" s="1415" t="s">
        <v>2689</v>
      </c>
      <c r="G278" s="2188"/>
      <c r="H278" s="659"/>
      <c r="I278" s="2392"/>
      <c r="J278" s="659"/>
      <c r="K278" s="659"/>
      <c r="L278" s="2397"/>
      <c r="M278" s="659"/>
      <c r="N278" s="664"/>
      <c r="O278" s="664"/>
      <c r="P278" s="2395">
        <f>SUM(P279:P282)</f>
        <v>1228000</v>
      </c>
      <c r="Q278" s="694"/>
      <c r="R278" s="694"/>
      <c r="S278" s="695"/>
      <c r="T278" s="696"/>
    </row>
    <row r="279" spans="1:22" s="1137" customFormat="1" ht="15" customHeight="1">
      <c r="A279" s="1166"/>
      <c r="B279" s="1139"/>
      <c r="C279" s="1135"/>
      <c r="D279" s="1296"/>
      <c r="E279" s="3365"/>
      <c r="F279" s="1442" t="s">
        <v>2684</v>
      </c>
      <c r="G279" s="2418">
        <v>1228000</v>
      </c>
      <c r="H279" s="2419" t="s">
        <v>21</v>
      </c>
      <c r="I279" s="2420">
        <v>1</v>
      </c>
      <c r="J279" s="2419"/>
      <c r="K279" s="2419"/>
      <c r="L279" s="2421"/>
      <c r="M279" s="2419"/>
      <c r="N279" s="2422"/>
      <c r="O279" s="2422" t="s">
        <v>22</v>
      </c>
      <c r="P279" s="1560">
        <f>ROUNDUP(G279*I279,-3)</f>
        <v>1228000</v>
      </c>
      <c r="Q279" s="712"/>
      <c r="R279" s="712"/>
      <c r="S279" s="713"/>
      <c r="T279" s="714"/>
    </row>
    <row r="280" spans="1:22" ht="15" customHeight="1" thickBot="1">
      <c r="A280" s="617"/>
      <c r="B280" s="632"/>
      <c r="C280" s="3657" t="s">
        <v>294</v>
      </c>
      <c r="D280" s="3658"/>
      <c r="E280" s="3658"/>
      <c r="F280" s="3658"/>
      <c r="G280" s="3658"/>
      <c r="H280" s="3658"/>
      <c r="I280" s="3658"/>
      <c r="J280" s="3658"/>
      <c r="K280" s="3658"/>
      <c r="L280" s="3658"/>
      <c r="M280" s="3658"/>
      <c r="N280" s="3658"/>
      <c r="O280" s="3658"/>
      <c r="P280" s="3659"/>
      <c r="Q280" s="623">
        <f>Q281</f>
        <v>8000000</v>
      </c>
      <c r="R280" s="623">
        <f>R281</f>
        <v>9638000</v>
      </c>
      <c r="S280" s="624">
        <f>Q280-R280</f>
        <v>-1638000</v>
      </c>
      <c r="T280" s="625">
        <f>S280/R280</f>
        <v>-0.16995227225565471</v>
      </c>
      <c r="V280" s="2090"/>
    </row>
    <row r="281" spans="1:22" ht="15" customHeight="1" thickBot="1">
      <c r="A281" s="617"/>
      <c r="B281" s="632"/>
      <c r="C281" s="632"/>
      <c r="D281" s="684" t="s">
        <v>223</v>
      </c>
      <c r="E281" s="2229"/>
      <c r="F281" s="1269"/>
      <c r="G281" s="636"/>
      <c r="H281" s="635"/>
      <c r="I281" s="635"/>
      <c r="J281" s="635"/>
      <c r="K281" s="635"/>
      <c r="L281" s="635"/>
      <c r="M281" s="635"/>
      <c r="N281" s="637"/>
      <c r="O281" s="637"/>
      <c r="P281" s="635"/>
      <c r="Q281" s="638">
        <f>Q282</f>
        <v>8000000</v>
      </c>
      <c r="R281" s="638">
        <f>R282</f>
        <v>9638000</v>
      </c>
      <c r="S281" s="937">
        <f>Q281-R281</f>
        <v>-1638000</v>
      </c>
      <c r="T281" s="616">
        <f>S281/R281</f>
        <v>-0.16995227225565471</v>
      </c>
    </row>
    <row r="282" spans="1:22" ht="15" customHeight="1">
      <c r="A282" s="617"/>
      <c r="B282" s="632"/>
      <c r="C282" s="632"/>
      <c r="D282" s="632"/>
      <c r="E282" s="3637" t="s">
        <v>3073</v>
      </c>
      <c r="F282" s="3638"/>
      <c r="G282" s="3638"/>
      <c r="H282" s="3638"/>
      <c r="I282" s="3638"/>
      <c r="J282" s="3638"/>
      <c r="K282" s="3638"/>
      <c r="L282" s="3638"/>
      <c r="M282" s="3638"/>
      <c r="N282" s="3638"/>
      <c r="O282" s="3638"/>
      <c r="P282" s="3639"/>
      <c r="Q282" s="645">
        <f>ROUNDUP(P283+P285,-3)</f>
        <v>8000000</v>
      </c>
      <c r="R282" s="645">
        <v>9638000</v>
      </c>
      <c r="S282" s="646">
        <f>Q282-R282</f>
        <v>-1638000</v>
      </c>
      <c r="T282" s="647">
        <f>S282/R282</f>
        <v>-0.16995227225565471</v>
      </c>
    </row>
    <row r="283" spans="1:22" ht="15" customHeight="1">
      <c r="A283" s="617"/>
      <c r="B283" s="632"/>
      <c r="C283" s="632"/>
      <c r="D283" s="632"/>
      <c r="E283" s="1143"/>
      <c r="F283" s="1507" t="s">
        <v>1277</v>
      </c>
      <c r="G283" s="686"/>
      <c r="H283" s="679"/>
      <c r="I283" s="679"/>
      <c r="J283" s="679"/>
      <c r="K283" s="679"/>
      <c r="L283" s="1508"/>
      <c r="M283" s="679"/>
      <c r="N283" s="687"/>
      <c r="O283" s="687"/>
      <c r="P283" s="681">
        <f>SUM(P284)</f>
        <v>100000</v>
      </c>
      <c r="Q283" s="653">
        <f>P283</f>
        <v>100000</v>
      </c>
      <c r="R283" s="653">
        <v>100000</v>
      </c>
      <c r="S283" s="654">
        <f t="shared" ref="S283" si="85">Q283-R283</f>
        <v>0</v>
      </c>
      <c r="T283" s="655">
        <f t="shared" ref="T283" si="86">S283/R283</f>
        <v>0</v>
      </c>
    </row>
    <row r="284" spans="1:22" ht="15" customHeight="1">
      <c r="A284" s="617"/>
      <c r="B284" s="632"/>
      <c r="C284" s="632"/>
      <c r="D284" s="632"/>
      <c r="E284" s="3306"/>
      <c r="F284" s="1511" t="s">
        <v>20</v>
      </c>
      <c r="G284" s="880">
        <v>100000</v>
      </c>
      <c r="H284" s="2522" t="s">
        <v>21</v>
      </c>
      <c r="I284" s="878">
        <v>1</v>
      </c>
      <c r="J284" s="2522"/>
      <c r="K284" s="881"/>
      <c r="L284" s="1510"/>
      <c r="M284" s="881"/>
      <c r="N284" s="701"/>
      <c r="O284" s="701" t="s">
        <v>22</v>
      </c>
      <c r="P284" s="882">
        <f>ROUNDUP(G284*I284,-3)</f>
        <v>100000</v>
      </c>
      <c r="Q284" s="694"/>
      <c r="R284" s="694"/>
      <c r="S284" s="695"/>
      <c r="T284" s="696"/>
    </row>
    <row r="285" spans="1:22" ht="15" customHeight="1">
      <c r="A285" s="617"/>
      <c r="B285" s="632"/>
      <c r="C285" s="632"/>
      <c r="D285" s="632"/>
      <c r="E285" s="1143"/>
      <c r="F285" s="1507" t="s">
        <v>1390</v>
      </c>
      <c r="G285" s="686"/>
      <c r="H285" s="679"/>
      <c r="I285" s="679"/>
      <c r="J285" s="679"/>
      <c r="K285" s="679"/>
      <c r="L285" s="1508"/>
      <c r="M285" s="679"/>
      <c r="N285" s="687"/>
      <c r="O285" s="687"/>
      <c r="P285" s="681">
        <f>SUM(P286)</f>
        <v>7900000</v>
      </c>
      <c r="Q285" s="653">
        <f>P285</f>
        <v>7900000</v>
      </c>
      <c r="R285" s="653">
        <v>9538000</v>
      </c>
      <c r="S285" s="654">
        <f t="shared" ref="S285" si="87">Q285-R285</f>
        <v>-1638000</v>
      </c>
      <c r="T285" s="655">
        <f t="shared" ref="T285" si="88">S285/R285</f>
        <v>-0.17173411616691131</v>
      </c>
    </row>
    <row r="286" spans="1:22" ht="15" customHeight="1" thickBot="1">
      <c r="A286" s="766"/>
      <c r="B286" s="767"/>
      <c r="C286" s="767"/>
      <c r="D286" s="767"/>
      <c r="E286" s="3309"/>
      <c r="F286" s="1583" t="s">
        <v>1391</v>
      </c>
      <c r="G286" s="2423">
        <v>7900000</v>
      </c>
      <c r="H286" s="1171" t="s">
        <v>21</v>
      </c>
      <c r="I286" s="2424">
        <v>1</v>
      </c>
      <c r="J286" s="1171"/>
      <c r="K286" s="2425"/>
      <c r="L286" s="2426"/>
      <c r="M286" s="2425"/>
      <c r="N286" s="2427"/>
      <c r="O286" s="2427" t="s">
        <v>22</v>
      </c>
      <c r="P286" s="2428">
        <f>ROUNDUP(G286*I286,-3)</f>
        <v>7900000</v>
      </c>
      <c r="Q286" s="909"/>
      <c r="R286" s="909"/>
      <c r="S286" s="910"/>
      <c r="T286" s="911"/>
    </row>
    <row r="287" spans="1:22" ht="15" customHeight="1">
      <c r="R287" s="965"/>
    </row>
    <row r="288" spans="1:22" ht="15" customHeight="1"/>
    <row r="289" ht="15" customHeight="1"/>
    <row r="290" ht="15" customHeight="1"/>
    <row r="291" ht="15" customHeight="1"/>
    <row r="292" ht="15" customHeight="1"/>
  </sheetData>
  <mergeCells count="54">
    <mergeCell ref="I21:J21"/>
    <mergeCell ref="I22:J22"/>
    <mergeCell ref="A1:T1"/>
    <mergeCell ref="S2:T2"/>
    <mergeCell ref="A3:E3"/>
    <mergeCell ref="G3:P4"/>
    <mergeCell ref="Q3:Q4"/>
    <mergeCell ref="R3:R4"/>
    <mergeCell ref="S3:S4"/>
    <mergeCell ref="T3:T4"/>
    <mergeCell ref="E11:P11"/>
    <mergeCell ref="E10:P10"/>
    <mergeCell ref="E9:P9"/>
    <mergeCell ref="E51:P51"/>
    <mergeCell ref="E42:P42"/>
    <mergeCell ref="E37:P37"/>
    <mergeCell ref="E25:P25"/>
    <mergeCell ref="E23:P23"/>
    <mergeCell ref="I27:J27"/>
    <mergeCell ref="I28:J28"/>
    <mergeCell ref="I29:J29"/>
    <mergeCell ref="I30:J30"/>
    <mergeCell ref="I31:J31"/>
    <mergeCell ref="E74:P74"/>
    <mergeCell ref="E69:P69"/>
    <mergeCell ref="E65:P65"/>
    <mergeCell ref="E62:P62"/>
    <mergeCell ref="E54:P54"/>
    <mergeCell ref="E90:P90"/>
    <mergeCell ref="E85:P85"/>
    <mergeCell ref="E82:P82"/>
    <mergeCell ref="E81:P81"/>
    <mergeCell ref="E77:P77"/>
    <mergeCell ref="E101:P101"/>
    <mergeCell ref="E99:P99"/>
    <mergeCell ref="E96:P96"/>
    <mergeCell ref="E92:P92"/>
    <mergeCell ref="E91:P91"/>
    <mergeCell ref="C97:P97"/>
    <mergeCell ref="E244:P244"/>
    <mergeCell ref="E242:P242"/>
    <mergeCell ref="E180:P180"/>
    <mergeCell ref="E164:P164"/>
    <mergeCell ref="C240:P240"/>
    <mergeCell ref="E258:P258"/>
    <mergeCell ref="E253:P253"/>
    <mergeCell ref="E252:P252"/>
    <mergeCell ref="E251:P251"/>
    <mergeCell ref="E247:P247"/>
    <mergeCell ref="E282:P282"/>
    <mergeCell ref="E274:P274"/>
    <mergeCell ref="E270:P270"/>
    <mergeCell ref="C280:P280"/>
    <mergeCell ref="E262:P262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1" fitToHeight="0" orientation="landscape" r:id="rId1"/>
  <headerFooter scaleWithDoc="0">
    <oddFooter>&amp;C&amp;P</oddFooter>
  </headerFooter>
  <rowBreaks count="1" manualBreakCount="1">
    <brk id="72" max="19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0070C0"/>
    <pageSetUpPr fitToPage="1"/>
  </sheetPr>
  <dimension ref="A1:AC210"/>
  <sheetViews>
    <sheetView view="pageBreakPreview" zoomScaleNormal="85" zoomScaleSheetLayoutView="100" workbookViewId="0">
      <pane ySplit="7" topLeftCell="A145" activePane="bottomLeft" state="frozen"/>
      <selection activeCell="O40" sqref="O39:O40"/>
      <selection pane="bottomLeft" activeCell="D161" sqref="D161"/>
    </sheetView>
  </sheetViews>
  <sheetFormatPr defaultColWidth="9" defaultRowHeight="16.5"/>
  <cols>
    <col min="1" max="1" width="3.625" style="128" customWidth="1"/>
    <col min="2" max="4" width="3.625" style="839" customWidth="1"/>
    <col min="5" max="5" width="10.625" style="897" customWidth="1"/>
    <col min="6" max="6" width="31.375" style="1256" customWidth="1"/>
    <col min="7" max="7" width="13.625" style="840" bestFit="1" customWidth="1"/>
    <col min="8" max="8" width="2.125" style="128" customWidth="1"/>
    <col min="9" max="9" width="8.625" style="128" bestFit="1" customWidth="1"/>
    <col min="10" max="10" width="2.125" style="128" customWidth="1"/>
    <col min="11" max="11" width="5.875" style="128" customWidth="1"/>
    <col min="12" max="12" width="2.625" style="1257" customWidth="1"/>
    <col min="13" max="13" width="5.375" style="128" customWidth="1"/>
    <col min="14" max="14" width="2.75" style="841" customWidth="1"/>
    <col min="15" max="15" width="2.625" style="841" customWidth="1"/>
    <col min="16" max="16" width="13.625" style="128" customWidth="1"/>
    <col min="17" max="17" width="10.625" style="842" customWidth="1"/>
    <col min="18" max="18" width="10.625" style="843" customWidth="1"/>
    <col min="19" max="19" width="10.625" style="1174" customWidth="1"/>
    <col min="20" max="20" width="10.625" style="1175" customWidth="1"/>
    <col min="21" max="21" width="9" style="128"/>
    <col min="22" max="23" width="12" style="128" bestFit="1" customWidth="1"/>
    <col min="24" max="28" width="9" style="128"/>
    <col min="29" max="29" width="9.125" style="128" bestFit="1" customWidth="1"/>
    <col min="30" max="16384" width="9" style="128"/>
  </cols>
  <sheetData>
    <row r="1" spans="1:29" ht="35.1" customHeight="1">
      <c r="A1" s="3679" t="s">
        <v>2098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  <c r="T1" s="3785"/>
    </row>
    <row r="2" spans="1:29" ht="14.25" customHeight="1" thickBot="1">
      <c r="A2" s="128" t="s">
        <v>310</v>
      </c>
      <c r="E2" s="792"/>
      <c r="S2" s="3680" t="s">
        <v>311</v>
      </c>
      <c r="T2" s="3680"/>
    </row>
    <row r="3" spans="1:29" s="841" customFormat="1" ht="14.45" customHeight="1">
      <c r="A3" s="3743" t="s">
        <v>2</v>
      </c>
      <c r="B3" s="3644"/>
      <c r="C3" s="3644"/>
      <c r="D3" s="3644"/>
      <c r="E3" s="3644"/>
      <c r="F3" s="1258"/>
      <c r="G3" s="3645" t="s">
        <v>3</v>
      </c>
      <c r="H3" s="3645"/>
      <c r="I3" s="3645"/>
      <c r="J3" s="3645"/>
      <c r="K3" s="3645"/>
      <c r="L3" s="3645"/>
      <c r="M3" s="3645"/>
      <c r="N3" s="3645"/>
      <c r="O3" s="3645"/>
      <c r="P3" s="3646"/>
      <c r="Q3" s="3649" t="s">
        <v>4</v>
      </c>
      <c r="R3" s="3651" t="s">
        <v>326</v>
      </c>
      <c r="S3" s="3746" t="s">
        <v>5</v>
      </c>
      <c r="T3" s="3655" t="s">
        <v>6</v>
      </c>
    </row>
    <row r="4" spans="1:29" s="841" customFormat="1" ht="14.45" customHeight="1" thickBot="1">
      <c r="A4" s="502" t="s">
        <v>7</v>
      </c>
      <c r="B4" s="503" t="s">
        <v>8</v>
      </c>
      <c r="C4" s="503" t="s">
        <v>9</v>
      </c>
      <c r="D4" s="503" t="s">
        <v>10</v>
      </c>
      <c r="E4" s="503" t="s">
        <v>11</v>
      </c>
      <c r="F4" s="1259" t="s">
        <v>12</v>
      </c>
      <c r="G4" s="3647"/>
      <c r="H4" s="3647"/>
      <c r="I4" s="3647"/>
      <c r="J4" s="3647"/>
      <c r="K4" s="3647"/>
      <c r="L4" s="3647"/>
      <c r="M4" s="3647"/>
      <c r="N4" s="3647"/>
      <c r="O4" s="3647"/>
      <c r="P4" s="3648"/>
      <c r="Q4" s="3650"/>
      <c r="R4" s="3652"/>
      <c r="S4" s="3747"/>
      <c r="T4" s="3656"/>
    </row>
    <row r="5" spans="1:29" ht="14.45" customHeight="1" thickBot="1">
      <c r="A5" s="609" t="s">
        <v>312</v>
      </c>
      <c r="B5" s="1261"/>
      <c r="C5" s="1261"/>
      <c r="D5" s="1261"/>
      <c r="E5" s="1261"/>
      <c r="F5" s="1262"/>
      <c r="G5" s="612"/>
      <c r="H5" s="611"/>
      <c r="I5" s="611"/>
      <c r="J5" s="611"/>
      <c r="K5" s="611"/>
      <c r="L5" s="1263"/>
      <c r="M5" s="611"/>
      <c r="N5" s="613"/>
      <c r="O5" s="613"/>
      <c r="P5" s="611"/>
      <c r="Q5" s="614">
        <f>Q6</f>
        <v>214777000</v>
      </c>
      <c r="R5" s="614">
        <f>R6</f>
        <v>358832000</v>
      </c>
      <c r="S5" s="639">
        <f t="shared" ref="S5:S11" si="0">Q5-R5</f>
        <v>-144055000</v>
      </c>
      <c r="T5" s="640">
        <f t="shared" ref="T5:T9" si="1">S5/R5</f>
        <v>-0.40145527712132695</v>
      </c>
      <c r="V5" s="128">
        <v>219224000</v>
      </c>
      <c r="W5" s="128">
        <v>358832000</v>
      </c>
    </row>
    <row r="6" spans="1:29" ht="14.45" customHeight="1">
      <c r="A6" s="778"/>
      <c r="B6" s="779" t="s">
        <v>313</v>
      </c>
      <c r="C6" s="780"/>
      <c r="D6" s="780"/>
      <c r="E6" s="780"/>
      <c r="F6" s="1264"/>
      <c r="G6" s="864"/>
      <c r="H6" s="863"/>
      <c r="I6" s="863"/>
      <c r="J6" s="863"/>
      <c r="K6" s="863"/>
      <c r="L6" s="1265"/>
      <c r="M6" s="863"/>
      <c r="N6" s="865"/>
      <c r="O6" s="865"/>
      <c r="P6" s="863"/>
      <c r="Q6" s="866">
        <f>SUM(Q7,Q51,Q102,Q201)</f>
        <v>214777000</v>
      </c>
      <c r="R6" s="866">
        <f>SUM(R7,R51,R102,R201)</f>
        <v>358832000</v>
      </c>
      <c r="S6" s="867">
        <f t="shared" si="0"/>
        <v>-144055000</v>
      </c>
      <c r="T6" s="868">
        <f t="shared" si="1"/>
        <v>-0.40145527712132695</v>
      </c>
      <c r="V6" s="1120">
        <f>Q5-V5</f>
        <v>-4447000</v>
      </c>
      <c r="W6" s="1120">
        <f>R5-W5</f>
        <v>0</v>
      </c>
    </row>
    <row r="7" spans="1:29" ht="14.45" customHeight="1">
      <c r="A7" s="778"/>
      <c r="B7" s="844"/>
      <c r="C7" s="3685" t="s">
        <v>249</v>
      </c>
      <c r="D7" s="3686"/>
      <c r="E7" s="3686"/>
      <c r="F7" s="3686"/>
      <c r="G7" s="3686"/>
      <c r="H7" s="3686"/>
      <c r="I7" s="3686"/>
      <c r="J7" s="3686"/>
      <c r="K7" s="3686"/>
      <c r="L7" s="3686"/>
      <c r="M7" s="3686"/>
      <c r="N7" s="3686"/>
      <c r="O7" s="3686"/>
      <c r="P7" s="3687"/>
      <c r="Q7" s="872">
        <f>SUM(Q8,Q23)</f>
        <v>58347000</v>
      </c>
      <c r="R7" s="872">
        <f>SUM(R8,R23)</f>
        <v>207408000</v>
      </c>
      <c r="S7" s="867">
        <f t="shared" si="0"/>
        <v>-149061000</v>
      </c>
      <c r="T7" s="868">
        <f t="shared" si="1"/>
        <v>-0.71868491090025455</v>
      </c>
      <c r="AC7" s="2273">
        <v>25080</v>
      </c>
    </row>
    <row r="8" spans="1:29" ht="14.45" customHeight="1">
      <c r="A8" s="778"/>
      <c r="B8" s="786"/>
      <c r="C8" s="792"/>
      <c r="D8" s="1268" t="s">
        <v>250</v>
      </c>
      <c r="E8" s="2229"/>
      <c r="F8" s="1269"/>
      <c r="G8" s="636"/>
      <c r="H8" s="635"/>
      <c r="I8" s="635"/>
      <c r="J8" s="635"/>
      <c r="K8" s="635"/>
      <c r="L8" s="1268"/>
      <c r="M8" s="635"/>
      <c r="N8" s="637"/>
      <c r="O8" s="637"/>
      <c r="P8" s="635"/>
      <c r="Q8" s="638">
        <f>Q9+Q10+Q11+Q22</f>
        <v>32717000</v>
      </c>
      <c r="R8" s="638">
        <f>R9+R10+R11++R22</f>
        <v>144144000</v>
      </c>
      <c r="S8" s="639">
        <f t="shared" si="0"/>
        <v>-111427000</v>
      </c>
      <c r="T8" s="640">
        <f t="shared" si="1"/>
        <v>-0.77302558552558553</v>
      </c>
    </row>
    <row r="9" spans="1:29" ht="14.45" customHeight="1">
      <c r="A9" s="778"/>
      <c r="B9" s="786"/>
      <c r="C9" s="792"/>
      <c r="D9" s="786"/>
      <c r="E9" s="3637" t="s">
        <v>3108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8"/>
      <c r="P9" s="3639"/>
      <c r="Q9" s="645">
        <v>0</v>
      </c>
      <c r="R9" s="645">
        <v>68285000</v>
      </c>
      <c r="S9" s="646">
        <f t="shared" si="0"/>
        <v>-68285000</v>
      </c>
      <c r="T9" s="647">
        <f t="shared" si="1"/>
        <v>-1</v>
      </c>
      <c r="AC9" s="2273">
        <v>3120</v>
      </c>
    </row>
    <row r="10" spans="1:29" ht="14.45" customHeight="1">
      <c r="A10" s="778"/>
      <c r="B10" s="786"/>
      <c r="C10" s="792"/>
      <c r="D10" s="786"/>
      <c r="E10" s="3637" t="s">
        <v>3107</v>
      </c>
      <c r="F10" s="3638"/>
      <c r="G10" s="3638"/>
      <c r="H10" s="3638"/>
      <c r="I10" s="3638"/>
      <c r="J10" s="3638"/>
      <c r="K10" s="3638"/>
      <c r="L10" s="3638"/>
      <c r="M10" s="3638"/>
      <c r="N10" s="3638"/>
      <c r="O10" s="3638"/>
      <c r="P10" s="3639"/>
      <c r="Q10" s="645">
        <v>0</v>
      </c>
      <c r="R10" s="645">
        <v>41971000</v>
      </c>
      <c r="S10" s="646">
        <f t="shared" si="0"/>
        <v>-41971000</v>
      </c>
      <c r="T10" s="647">
        <f t="shared" ref="T10" si="2">S10/R10</f>
        <v>-1</v>
      </c>
    </row>
    <row r="11" spans="1:29" ht="14.45" customHeight="1">
      <c r="A11" s="778"/>
      <c r="B11" s="786"/>
      <c r="C11" s="792"/>
      <c r="D11" s="786"/>
      <c r="E11" s="3637" t="s">
        <v>208</v>
      </c>
      <c r="F11" s="3638"/>
      <c r="G11" s="3638"/>
      <c r="H11" s="3638"/>
      <c r="I11" s="3638"/>
      <c r="J11" s="3638"/>
      <c r="K11" s="3638"/>
      <c r="L11" s="3638"/>
      <c r="M11" s="3638"/>
      <c r="N11" s="3638"/>
      <c r="O11" s="3638"/>
      <c r="P11" s="3639"/>
      <c r="Q11" s="645">
        <f>P12+P14+P16+P18+P20</f>
        <v>32717000</v>
      </c>
      <c r="R11" s="645">
        <v>24700000</v>
      </c>
      <c r="S11" s="646">
        <f t="shared" si="0"/>
        <v>8017000</v>
      </c>
      <c r="T11" s="647">
        <f t="shared" ref="T11" si="3">S11/R11</f>
        <v>0.32457489878542511</v>
      </c>
      <c r="W11" s="128">
        <v>25080</v>
      </c>
      <c r="AC11" s="2273">
        <v>1600</v>
      </c>
    </row>
    <row r="12" spans="1:29" ht="14.45" customHeight="1">
      <c r="A12" s="778"/>
      <c r="B12" s="786"/>
      <c r="C12" s="792"/>
      <c r="D12" s="786"/>
      <c r="F12" s="1507" t="s">
        <v>1392</v>
      </c>
      <c r="G12" s="686"/>
      <c r="H12" s="679"/>
      <c r="I12" s="679"/>
      <c r="J12" s="679"/>
      <c r="K12" s="679"/>
      <c r="L12" s="1508"/>
      <c r="M12" s="679"/>
      <c r="N12" s="687"/>
      <c r="O12" s="687"/>
      <c r="P12" s="681">
        <f>SUM(P13:P13)</f>
        <v>25080000</v>
      </c>
      <c r="Q12" s="653">
        <f>P12</f>
        <v>25080000</v>
      </c>
      <c r="R12" s="653">
        <v>24700000</v>
      </c>
      <c r="S12" s="654">
        <f t="shared" ref="S12" si="4">Q12-R12</f>
        <v>380000</v>
      </c>
      <c r="T12" s="655">
        <f t="shared" ref="T12" si="5">S12/R12</f>
        <v>1.5384615384615385E-2</v>
      </c>
    </row>
    <row r="13" spans="1:29" ht="14.45" customHeight="1">
      <c r="A13" s="778"/>
      <c r="B13" s="786"/>
      <c r="C13" s="792"/>
      <c r="D13" s="786"/>
      <c r="F13" s="1511" t="s">
        <v>2307</v>
      </c>
      <c r="G13" s="880">
        <v>1045000</v>
      </c>
      <c r="H13" s="691" t="s">
        <v>21</v>
      </c>
      <c r="I13" s="876">
        <v>2</v>
      </c>
      <c r="J13" s="691" t="s">
        <v>21</v>
      </c>
      <c r="K13" s="881">
        <v>12</v>
      </c>
      <c r="L13" s="1570"/>
      <c r="M13" s="1571"/>
      <c r="N13" s="692"/>
      <c r="O13" s="692" t="s">
        <v>22</v>
      </c>
      <c r="P13" s="693">
        <f>ROUNDUP(G13*I13*K13,-3)</f>
        <v>25080000</v>
      </c>
      <c r="Q13" s="666"/>
      <c r="R13" s="666"/>
      <c r="S13" s="695"/>
      <c r="T13" s="696"/>
      <c r="W13" s="1312">
        <v>3120</v>
      </c>
      <c r="AC13" s="128">
        <v>400</v>
      </c>
    </row>
    <row r="14" spans="1:29" ht="14.45" customHeight="1">
      <c r="A14" s="778"/>
      <c r="B14" s="786"/>
      <c r="C14" s="792"/>
      <c r="D14" s="786"/>
      <c r="F14" s="1507" t="s">
        <v>1393</v>
      </c>
      <c r="G14" s="686"/>
      <c r="H14" s="679"/>
      <c r="I14" s="679"/>
      <c r="J14" s="679"/>
      <c r="K14" s="679"/>
      <c r="L14" s="1508"/>
      <c r="M14" s="679"/>
      <c r="N14" s="687"/>
      <c r="O14" s="687"/>
      <c r="P14" s="681">
        <f>SUM(P15:P15)</f>
        <v>3120000</v>
      </c>
      <c r="Q14" s="653">
        <f>P14</f>
        <v>3120000</v>
      </c>
      <c r="R14" s="653">
        <v>0</v>
      </c>
      <c r="S14" s="654">
        <f t="shared" ref="S14" si="6">Q14-R14</f>
        <v>3120000</v>
      </c>
      <c r="T14" s="655"/>
    </row>
    <row r="15" spans="1:29" ht="14.45" customHeight="1">
      <c r="A15" s="778"/>
      <c r="B15" s="786"/>
      <c r="C15" s="792"/>
      <c r="D15" s="786"/>
      <c r="F15" s="1511" t="s">
        <v>42</v>
      </c>
      <c r="G15" s="880">
        <v>130000</v>
      </c>
      <c r="H15" s="691" t="s">
        <v>21</v>
      </c>
      <c r="I15" s="876">
        <v>2</v>
      </c>
      <c r="J15" s="691" t="s">
        <v>21</v>
      </c>
      <c r="K15" s="881">
        <v>12</v>
      </c>
      <c r="L15" s="1570"/>
      <c r="M15" s="1571"/>
      <c r="N15" s="692"/>
      <c r="O15" s="692" t="s">
        <v>22</v>
      </c>
      <c r="P15" s="693">
        <f>ROUNDUP(G15*I15*K15,-3)</f>
        <v>3120000</v>
      </c>
      <c r="Q15" s="666"/>
      <c r="R15" s="666"/>
      <c r="S15" s="695"/>
      <c r="T15" s="696"/>
      <c r="W15" s="128">
        <v>1600</v>
      </c>
      <c r="AC15" s="2273">
        <v>2517</v>
      </c>
    </row>
    <row r="16" spans="1:29" ht="14.45" customHeight="1">
      <c r="A16" s="778"/>
      <c r="B16" s="786"/>
      <c r="C16" s="792"/>
      <c r="D16" s="786"/>
      <c r="F16" s="1507" t="s">
        <v>1394</v>
      </c>
      <c r="G16" s="686"/>
      <c r="H16" s="679"/>
      <c r="I16" s="679"/>
      <c r="J16" s="679"/>
      <c r="K16" s="679"/>
      <c r="L16" s="1508"/>
      <c r="M16" s="679"/>
      <c r="N16" s="687"/>
      <c r="O16" s="687"/>
      <c r="P16" s="681">
        <f>P17</f>
        <v>1600000</v>
      </c>
      <c r="Q16" s="653">
        <f>P16</f>
        <v>1600000</v>
      </c>
      <c r="R16" s="653">
        <v>0</v>
      </c>
      <c r="S16" s="654">
        <f t="shared" ref="S16" si="7">Q16-R16</f>
        <v>1600000</v>
      </c>
      <c r="T16" s="655"/>
      <c r="AC16" s="2273">
        <f>SUM(AC7:AC15)</f>
        <v>32717</v>
      </c>
    </row>
    <row r="17" spans="1:23" ht="14.45" customHeight="1">
      <c r="A17" s="778"/>
      <c r="B17" s="786"/>
      <c r="C17" s="792"/>
      <c r="D17" s="786"/>
      <c r="F17" s="1511" t="s">
        <v>1395</v>
      </c>
      <c r="G17" s="880">
        <v>400000</v>
      </c>
      <c r="H17" s="691" t="s">
        <v>21</v>
      </c>
      <c r="I17" s="876">
        <v>2</v>
      </c>
      <c r="J17" s="691" t="s">
        <v>21</v>
      </c>
      <c r="K17" s="881">
        <v>2</v>
      </c>
      <c r="L17" s="1570"/>
      <c r="M17" s="1571"/>
      <c r="N17" s="692"/>
      <c r="O17" s="692" t="s">
        <v>22</v>
      </c>
      <c r="P17" s="693">
        <f>ROUNDUP(G17*I17*K17,-3)</f>
        <v>1600000</v>
      </c>
      <c r="Q17" s="666"/>
      <c r="R17" s="666"/>
      <c r="S17" s="695"/>
      <c r="T17" s="696"/>
      <c r="W17" s="128">
        <v>400</v>
      </c>
    </row>
    <row r="18" spans="1:23" ht="14.45" customHeight="1">
      <c r="A18" s="778"/>
      <c r="B18" s="786"/>
      <c r="C18" s="792"/>
      <c r="D18" s="786"/>
      <c r="F18" s="1507" t="s">
        <v>1396</v>
      </c>
      <c r="G18" s="686"/>
      <c r="H18" s="679"/>
      <c r="I18" s="679"/>
      <c r="J18" s="679"/>
      <c r="K18" s="679"/>
      <c r="L18" s="1508"/>
      <c r="M18" s="679"/>
      <c r="N18" s="687"/>
      <c r="O18" s="687"/>
      <c r="P18" s="681">
        <f>SUM(P19:P19)</f>
        <v>400000</v>
      </c>
      <c r="Q18" s="653">
        <f>P18</f>
        <v>400000</v>
      </c>
      <c r="R18" s="653">
        <v>0</v>
      </c>
      <c r="S18" s="654">
        <f t="shared" ref="S18" si="8">Q18-R18</f>
        <v>400000</v>
      </c>
      <c r="T18" s="655"/>
    </row>
    <row r="19" spans="1:23" ht="14.45" customHeight="1">
      <c r="A19" s="778"/>
      <c r="B19" s="786"/>
      <c r="C19" s="792"/>
      <c r="D19" s="786"/>
      <c r="F19" s="1511" t="s">
        <v>50</v>
      </c>
      <c r="G19" s="880">
        <v>40000</v>
      </c>
      <c r="H19" s="691" t="s">
        <v>21</v>
      </c>
      <c r="I19" s="876">
        <v>2</v>
      </c>
      <c r="J19" s="691" t="s">
        <v>21</v>
      </c>
      <c r="K19" s="1163">
        <v>5</v>
      </c>
      <c r="L19" s="1554"/>
      <c r="M19" s="2274"/>
      <c r="N19" s="692"/>
      <c r="O19" s="692" t="s">
        <v>22</v>
      </c>
      <c r="P19" s="693">
        <f>ROUNDUP(G19*I19*K19,-3)</f>
        <v>400000</v>
      </c>
      <c r="Q19" s="666"/>
      <c r="R19" s="666"/>
      <c r="S19" s="695"/>
      <c r="T19" s="696"/>
      <c r="W19" s="1120">
        <v>2517</v>
      </c>
    </row>
    <row r="20" spans="1:23" ht="14.45" customHeight="1">
      <c r="A20" s="778"/>
      <c r="B20" s="786"/>
      <c r="C20" s="792"/>
      <c r="D20" s="786"/>
      <c r="F20" s="1507" t="s">
        <v>1397</v>
      </c>
      <c r="G20" s="686"/>
      <c r="H20" s="679"/>
      <c r="I20" s="679"/>
      <c r="J20" s="679"/>
      <c r="K20" s="679"/>
      <c r="L20" s="1508"/>
      <c r="M20" s="679"/>
      <c r="N20" s="687"/>
      <c r="O20" s="687"/>
      <c r="P20" s="681">
        <f>SUM(P21:P21)</f>
        <v>2517000</v>
      </c>
      <c r="Q20" s="653">
        <f>P20</f>
        <v>2517000</v>
      </c>
      <c r="R20" s="653">
        <v>0</v>
      </c>
      <c r="S20" s="654">
        <f t="shared" ref="S20" si="9">Q20-R20</f>
        <v>2517000</v>
      </c>
      <c r="T20" s="655"/>
    </row>
    <row r="21" spans="1:23" ht="14.45" customHeight="1">
      <c r="A21" s="778"/>
      <c r="B21" s="786"/>
      <c r="C21" s="792"/>
      <c r="D21" s="786"/>
      <c r="F21" s="1511" t="s">
        <v>53</v>
      </c>
      <c r="G21" s="880">
        <v>30204000</v>
      </c>
      <c r="H21" s="691" t="s">
        <v>21</v>
      </c>
      <c r="I21" s="3767">
        <v>12</v>
      </c>
      <c r="J21" s="3767"/>
      <c r="K21" s="881"/>
      <c r="L21" s="1570"/>
      <c r="M21" s="1571"/>
      <c r="N21" s="692"/>
      <c r="O21" s="692" t="s">
        <v>22</v>
      </c>
      <c r="P21" s="693">
        <f>ROUNDUP((G21/12),-3)</f>
        <v>2517000</v>
      </c>
      <c r="Q21" s="666"/>
      <c r="R21" s="666"/>
      <c r="S21" s="695"/>
      <c r="T21" s="696"/>
      <c r="V21" s="128">
        <v>2517000</v>
      </c>
    </row>
    <row r="22" spans="1:23" ht="14.45" customHeight="1">
      <c r="A22" s="778"/>
      <c r="B22" s="786"/>
      <c r="C22" s="792"/>
      <c r="D22" s="786"/>
      <c r="E22" s="3637" t="s">
        <v>3106</v>
      </c>
      <c r="F22" s="3638"/>
      <c r="G22" s="3638"/>
      <c r="H22" s="3638"/>
      <c r="I22" s="3638"/>
      <c r="J22" s="3638"/>
      <c r="K22" s="3638"/>
      <c r="L22" s="3638"/>
      <c r="M22" s="3638"/>
      <c r="N22" s="3638"/>
      <c r="O22" s="3638"/>
      <c r="P22" s="3639"/>
      <c r="Q22" s="645">
        <v>0</v>
      </c>
      <c r="R22" s="645">
        <v>9188000</v>
      </c>
      <c r="S22" s="646">
        <f>Q22-R22</f>
        <v>-9188000</v>
      </c>
      <c r="T22" s="647">
        <f t="shared" ref="T22" si="10">S22/R22</f>
        <v>-1</v>
      </c>
    </row>
    <row r="23" spans="1:23" ht="14.45" customHeight="1">
      <c r="A23" s="778"/>
      <c r="B23" s="786"/>
      <c r="C23" s="792"/>
      <c r="D23" s="716" t="s">
        <v>315</v>
      </c>
      <c r="E23" s="3288"/>
      <c r="F23" s="1305"/>
      <c r="G23" s="717"/>
      <c r="H23" s="716"/>
      <c r="I23" s="716"/>
      <c r="J23" s="716"/>
      <c r="K23" s="716"/>
      <c r="L23" s="1306"/>
      <c r="M23" s="716"/>
      <c r="N23" s="718"/>
      <c r="O23" s="718"/>
      <c r="P23" s="716"/>
      <c r="Q23" s="685">
        <f>Q24+Q31+Q40+Q43+Q50</f>
        <v>25630000</v>
      </c>
      <c r="R23" s="685">
        <f>R24+R31+R40+R43+R50</f>
        <v>63264000</v>
      </c>
      <c r="S23" s="639">
        <f>Q23-R23</f>
        <v>-37634000</v>
      </c>
      <c r="T23" s="640">
        <f t="shared" ref="T23:T25" si="11">S23/R23</f>
        <v>-0.59487228123419322</v>
      </c>
    </row>
    <row r="24" spans="1:23" ht="14.45" customHeight="1">
      <c r="A24" s="778"/>
      <c r="B24" s="786"/>
      <c r="C24" s="792"/>
      <c r="D24" s="786"/>
      <c r="E24" s="3637" t="s">
        <v>3105</v>
      </c>
      <c r="F24" s="3638"/>
      <c r="G24" s="3638"/>
      <c r="H24" s="3638"/>
      <c r="I24" s="3638"/>
      <c r="J24" s="3638"/>
      <c r="K24" s="3638"/>
      <c r="L24" s="3638"/>
      <c r="M24" s="3638"/>
      <c r="N24" s="3638"/>
      <c r="O24" s="3638"/>
      <c r="P24" s="3639"/>
      <c r="Q24" s="645">
        <f>SUM(P25)</f>
        <v>3010000</v>
      </c>
      <c r="R24" s="645">
        <v>13444000</v>
      </c>
      <c r="S24" s="646">
        <f>Q24-R24</f>
        <v>-10434000</v>
      </c>
      <c r="T24" s="647">
        <f t="shared" si="11"/>
        <v>-0.77610830110086282</v>
      </c>
    </row>
    <row r="25" spans="1:23" ht="14.45" customHeight="1">
      <c r="A25" s="778"/>
      <c r="B25" s="786"/>
      <c r="C25" s="792"/>
      <c r="D25" s="786"/>
      <c r="F25" s="1507" t="s">
        <v>1398</v>
      </c>
      <c r="G25" s="686"/>
      <c r="H25" s="679"/>
      <c r="I25" s="679"/>
      <c r="J25" s="679"/>
      <c r="K25" s="679"/>
      <c r="L25" s="1508"/>
      <c r="M25" s="679"/>
      <c r="N25" s="687"/>
      <c r="O25" s="687"/>
      <c r="P25" s="681">
        <f>SUM(P26:P30)</f>
        <v>3010000</v>
      </c>
      <c r="Q25" s="653">
        <f>P25</f>
        <v>3010000</v>
      </c>
      <c r="R25" s="653">
        <v>13444000</v>
      </c>
      <c r="S25" s="654">
        <f t="shared" ref="S25" si="12">Q25-R25</f>
        <v>-10434000</v>
      </c>
      <c r="T25" s="655">
        <f t="shared" si="11"/>
        <v>-0.77610830110086282</v>
      </c>
      <c r="V25" s="128">
        <f>V21/12</f>
        <v>209750</v>
      </c>
    </row>
    <row r="26" spans="1:23" ht="14.45" customHeight="1">
      <c r="A26" s="778"/>
      <c r="B26" s="786"/>
      <c r="C26" s="792"/>
      <c r="D26" s="786"/>
      <c r="E26" s="3282"/>
      <c r="F26" s="2275" t="s">
        <v>1399</v>
      </c>
      <c r="G26" s="2276">
        <v>30200000</v>
      </c>
      <c r="H26" s="2277" t="s">
        <v>1400</v>
      </c>
      <c r="I26" s="3784">
        <v>4.4999999999999998E-2</v>
      </c>
      <c r="J26" s="3784"/>
      <c r="K26" s="2278"/>
      <c r="L26" s="2279"/>
      <c r="M26" s="2278"/>
      <c r="N26" s="2280"/>
      <c r="O26" s="2280" t="s">
        <v>1401</v>
      </c>
      <c r="P26" s="2281">
        <f>ROUNDUP(G26*I26,-3)</f>
        <v>1359000</v>
      </c>
      <c r="Q26" s="694"/>
      <c r="R26" s="694"/>
      <c r="S26" s="695"/>
      <c r="T26" s="696"/>
    </row>
    <row r="27" spans="1:23" ht="14.45" customHeight="1">
      <c r="A27" s="778"/>
      <c r="B27" s="786"/>
      <c r="C27" s="792"/>
      <c r="D27" s="786"/>
      <c r="E27" s="3283"/>
      <c r="F27" s="2282" t="s">
        <v>1402</v>
      </c>
      <c r="G27" s="2276">
        <f>G26</f>
        <v>30200000</v>
      </c>
      <c r="H27" s="2277" t="s">
        <v>51</v>
      </c>
      <c r="I27" s="3784">
        <v>3.1199999999999999E-2</v>
      </c>
      <c r="J27" s="3784"/>
      <c r="K27" s="2278"/>
      <c r="L27" s="2279"/>
      <c r="M27" s="2278"/>
      <c r="N27" s="2280"/>
      <c r="O27" s="2280" t="s">
        <v>1403</v>
      </c>
      <c r="P27" s="2281">
        <f>ROUNDUP(G27*I27,-3)</f>
        <v>943000</v>
      </c>
      <c r="Q27" s="694"/>
      <c r="R27" s="694"/>
      <c r="S27" s="695"/>
      <c r="T27" s="696"/>
    </row>
    <row r="28" spans="1:23" ht="14.45" customHeight="1">
      <c r="A28" s="778"/>
      <c r="B28" s="786"/>
      <c r="C28" s="792"/>
      <c r="D28" s="786"/>
      <c r="E28" s="3283"/>
      <c r="F28" s="2282" t="s">
        <v>1287</v>
      </c>
      <c r="G28" s="2276">
        <f>P27</f>
        <v>943000</v>
      </c>
      <c r="H28" s="2277" t="s">
        <v>1004</v>
      </c>
      <c r="I28" s="3784">
        <v>7.3800000000000004E-2</v>
      </c>
      <c r="J28" s="3784"/>
      <c r="K28" s="2278"/>
      <c r="L28" s="2279"/>
      <c r="M28" s="2278"/>
      <c r="N28" s="2280"/>
      <c r="O28" s="2280" t="s">
        <v>820</v>
      </c>
      <c r="P28" s="2281">
        <f>ROUNDUP(G28*I28,-3)</f>
        <v>70000</v>
      </c>
      <c r="Q28" s="694"/>
      <c r="R28" s="694"/>
      <c r="S28" s="695"/>
      <c r="T28" s="696"/>
    </row>
    <row r="29" spans="1:23" ht="14.45" customHeight="1">
      <c r="A29" s="778"/>
      <c r="B29" s="786"/>
      <c r="C29" s="792"/>
      <c r="D29" s="786"/>
      <c r="E29" s="3283"/>
      <c r="F29" s="2282" t="s">
        <v>1288</v>
      </c>
      <c r="G29" s="2276">
        <f>G26</f>
        <v>30200000</v>
      </c>
      <c r="H29" s="2277" t="s">
        <v>1262</v>
      </c>
      <c r="I29" s="3784">
        <v>8.9999999999999993E-3</v>
      </c>
      <c r="J29" s="3784"/>
      <c r="K29" s="2278"/>
      <c r="L29" s="2279"/>
      <c r="M29" s="2278"/>
      <c r="N29" s="2280"/>
      <c r="O29" s="2280" t="s">
        <v>32</v>
      </c>
      <c r="P29" s="2281">
        <f>ROUNDUP(G29*I29,-3)</f>
        <v>272000</v>
      </c>
      <c r="Q29" s="694"/>
      <c r="R29" s="694"/>
      <c r="S29" s="695"/>
      <c r="T29" s="696"/>
      <c r="V29" s="128">
        <f>V21*12</f>
        <v>30204000</v>
      </c>
    </row>
    <row r="30" spans="1:23" ht="14.45" customHeight="1">
      <c r="A30" s="778"/>
      <c r="B30" s="786"/>
      <c r="C30" s="792"/>
      <c r="D30" s="786"/>
      <c r="E30" s="3283"/>
      <c r="F30" s="2282" t="s">
        <v>1289</v>
      </c>
      <c r="G30" s="2276">
        <f>G27</f>
        <v>30200000</v>
      </c>
      <c r="H30" s="2277" t="s">
        <v>51</v>
      </c>
      <c r="I30" s="3784">
        <v>1.21E-2</v>
      </c>
      <c r="J30" s="3784"/>
      <c r="K30" s="2278"/>
      <c r="L30" s="2279"/>
      <c r="M30" s="2278"/>
      <c r="N30" s="2280"/>
      <c r="O30" s="2280" t="s">
        <v>1401</v>
      </c>
      <c r="P30" s="2281">
        <f>ROUNDUP(G30*I30,-3)</f>
        <v>366000</v>
      </c>
      <c r="Q30" s="694"/>
      <c r="R30" s="694"/>
      <c r="S30" s="695"/>
      <c r="T30" s="696"/>
    </row>
    <row r="31" spans="1:23" ht="14.45" customHeight="1">
      <c r="A31" s="778"/>
      <c r="B31" s="786"/>
      <c r="C31" s="792"/>
      <c r="D31" s="786"/>
      <c r="E31" s="3637" t="s">
        <v>188</v>
      </c>
      <c r="F31" s="3638"/>
      <c r="G31" s="3638"/>
      <c r="H31" s="3638"/>
      <c r="I31" s="3638"/>
      <c r="J31" s="3638"/>
      <c r="K31" s="3638"/>
      <c r="L31" s="3638"/>
      <c r="M31" s="3638"/>
      <c r="N31" s="3638"/>
      <c r="O31" s="3638"/>
      <c r="P31" s="3639"/>
      <c r="Q31" s="645">
        <f>SUM(P32+P34+P36+P38)</f>
        <v>3400000</v>
      </c>
      <c r="R31" s="645">
        <v>3600000</v>
      </c>
      <c r="S31" s="646">
        <f>Q31-R31</f>
        <v>-200000</v>
      </c>
      <c r="T31" s="647">
        <f t="shared" ref="T31:T32" si="13">S31/R31</f>
        <v>-5.5555555555555552E-2</v>
      </c>
    </row>
    <row r="32" spans="1:23" ht="14.45" customHeight="1">
      <c r="A32" s="778"/>
      <c r="B32" s="786"/>
      <c r="C32" s="792"/>
      <c r="D32" s="786"/>
      <c r="F32" s="1507" t="s">
        <v>1404</v>
      </c>
      <c r="G32" s="686"/>
      <c r="H32" s="679"/>
      <c r="I32" s="679"/>
      <c r="J32" s="679"/>
      <c r="K32" s="679"/>
      <c r="L32" s="1508"/>
      <c r="M32" s="679"/>
      <c r="N32" s="687"/>
      <c r="O32" s="687"/>
      <c r="P32" s="681">
        <f>SUM(P33:P33)</f>
        <v>200000</v>
      </c>
      <c r="Q32" s="653">
        <f>P32</f>
        <v>200000</v>
      </c>
      <c r="R32" s="653">
        <v>200000</v>
      </c>
      <c r="S32" s="654">
        <f t="shared" ref="S32" si="14">Q32-R32</f>
        <v>0</v>
      </c>
      <c r="T32" s="655">
        <f t="shared" si="13"/>
        <v>0</v>
      </c>
    </row>
    <row r="33" spans="1:22" ht="14.45" customHeight="1">
      <c r="A33" s="778"/>
      <c r="B33" s="786"/>
      <c r="C33" s="792"/>
      <c r="D33" s="786"/>
      <c r="E33" s="3282"/>
      <c r="F33" s="2275" t="s">
        <v>1405</v>
      </c>
      <c r="G33" s="2283">
        <v>100000</v>
      </c>
      <c r="H33" s="2284" t="s">
        <v>51</v>
      </c>
      <c r="I33" s="2285">
        <v>2</v>
      </c>
      <c r="J33" s="2284"/>
      <c r="K33" s="2286"/>
      <c r="L33" s="2287"/>
      <c r="M33" s="2286"/>
      <c r="N33" s="2288"/>
      <c r="O33" s="2288" t="s">
        <v>32</v>
      </c>
      <c r="P33" s="2289">
        <f>ROUNDUP(G33*I33,-3)</f>
        <v>200000</v>
      </c>
      <c r="Q33" s="694"/>
      <c r="R33" s="694"/>
      <c r="S33" s="695"/>
      <c r="T33" s="696"/>
    </row>
    <row r="34" spans="1:22" ht="14.45" customHeight="1">
      <c r="A34" s="778"/>
      <c r="B34" s="786"/>
      <c r="C34" s="792"/>
      <c r="D34" s="786"/>
      <c r="F34" s="1507" t="s">
        <v>1406</v>
      </c>
      <c r="G34" s="686"/>
      <c r="H34" s="679"/>
      <c r="I34" s="679"/>
      <c r="J34" s="679"/>
      <c r="K34" s="679"/>
      <c r="L34" s="1508"/>
      <c r="M34" s="679"/>
      <c r="N34" s="687"/>
      <c r="O34" s="687"/>
      <c r="P34" s="681">
        <f>SUM(P35:P35)</f>
        <v>2400000</v>
      </c>
      <c r="Q34" s="653">
        <f>P34</f>
        <v>2400000</v>
      </c>
      <c r="R34" s="653">
        <v>2400000</v>
      </c>
      <c r="S34" s="654">
        <f t="shared" ref="S34" si="15">Q34-R34</f>
        <v>0</v>
      </c>
      <c r="T34" s="655">
        <f t="shared" ref="T34" si="16">S34/R34</f>
        <v>0</v>
      </c>
    </row>
    <row r="35" spans="1:22" ht="14.45" customHeight="1">
      <c r="A35" s="778"/>
      <c r="B35" s="786"/>
      <c r="C35" s="792"/>
      <c r="D35" s="786"/>
      <c r="E35" s="3282"/>
      <c r="F35" s="2275" t="s">
        <v>1407</v>
      </c>
      <c r="G35" s="2283">
        <v>200000</v>
      </c>
      <c r="H35" s="2284" t="s">
        <v>51</v>
      </c>
      <c r="I35" s="2286">
        <v>12</v>
      </c>
      <c r="J35" s="2284"/>
      <c r="K35" s="2286"/>
      <c r="L35" s="2287"/>
      <c r="M35" s="2286"/>
      <c r="N35" s="2288"/>
      <c r="O35" s="2288" t="s">
        <v>32</v>
      </c>
      <c r="P35" s="2289">
        <f>ROUNDUP(G35*I35,-3)</f>
        <v>2400000</v>
      </c>
      <c r="Q35" s="694"/>
      <c r="R35" s="694"/>
      <c r="S35" s="695"/>
      <c r="T35" s="696"/>
    </row>
    <row r="36" spans="1:22" ht="14.45" customHeight="1">
      <c r="A36" s="778"/>
      <c r="B36" s="786"/>
      <c r="C36" s="792"/>
      <c r="D36" s="786"/>
      <c r="F36" s="1507" t="s">
        <v>1408</v>
      </c>
      <c r="G36" s="686"/>
      <c r="H36" s="679"/>
      <c r="I36" s="679"/>
      <c r="J36" s="679"/>
      <c r="K36" s="679"/>
      <c r="L36" s="1508"/>
      <c r="M36" s="679"/>
      <c r="N36" s="687"/>
      <c r="O36" s="687"/>
      <c r="P36" s="681">
        <f>SUM(P37:P37)</f>
        <v>500000</v>
      </c>
      <c r="Q36" s="653">
        <f>P36</f>
        <v>500000</v>
      </c>
      <c r="R36" s="653">
        <v>700000</v>
      </c>
      <c r="S36" s="654">
        <f t="shared" ref="S36" si="17">Q36-R36</f>
        <v>-200000</v>
      </c>
      <c r="T36" s="655">
        <f t="shared" ref="T36" si="18">S36/R36</f>
        <v>-0.2857142857142857</v>
      </c>
    </row>
    <row r="37" spans="1:22" ht="14.45" customHeight="1">
      <c r="A37" s="778"/>
      <c r="B37" s="786"/>
      <c r="C37" s="792"/>
      <c r="D37" s="786"/>
      <c r="E37" s="3282"/>
      <c r="F37" s="2275" t="s">
        <v>1409</v>
      </c>
      <c r="G37" s="2283">
        <v>500000</v>
      </c>
      <c r="H37" s="2284" t="s">
        <v>51</v>
      </c>
      <c r="I37" s="2285">
        <v>1</v>
      </c>
      <c r="J37" s="2284"/>
      <c r="K37" s="2286"/>
      <c r="L37" s="2287"/>
      <c r="M37" s="2286"/>
      <c r="N37" s="2288"/>
      <c r="O37" s="2288" t="s">
        <v>985</v>
      </c>
      <c r="P37" s="2289">
        <f>ROUNDUP(G37*I37,-3)</f>
        <v>500000</v>
      </c>
      <c r="Q37" s="694"/>
      <c r="R37" s="694"/>
      <c r="S37" s="695"/>
      <c r="T37" s="696"/>
    </row>
    <row r="38" spans="1:22" ht="14.45" customHeight="1">
      <c r="A38" s="778"/>
      <c r="B38" s="786"/>
      <c r="C38" s="792"/>
      <c r="D38" s="786"/>
      <c r="F38" s="1507" t="s">
        <v>1410</v>
      </c>
      <c r="G38" s="686"/>
      <c r="H38" s="679"/>
      <c r="I38" s="679"/>
      <c r="J38" s="679"/>
      <c r="K38" s="679"/>
      <c r="L38" s="1508"/>
      <c r="M38" s="679"/>
      <c r="N38" s="687"/>
      <c r="O38" s="687"/>
      <c r="P38" s="681">
        <f>SUM(P39:P39)</f>
        <v>300000</v>
      </c>
      <c r="Q38" s="653">
        <f>P38</f>
        <v>300000</v>
      </c>
      <c r="R38" s="653">
        <v>300000</v>
      </c>
      <c r="S38" s="654">
        <f t="shared" ref="S38" si="19">Q38-R38</f>
        <v>0</v>
      </c>
      <c r="T38" s="655">
        <f t="shared" ref="T38" si="20">S38/R38</f>
        <v>0</v>
      </c>
    </row>
    <row r="39" spans="1:22" ht="14.45" customHeight="1">
      <c r="A39" s="1130"/>
      <c r="B39" s="846"/>
      <c r="C39" s="780"/>
      <c r="D39" s="846"/>
      <c r="E39" s="3317"/>
      <c r="F39" s="2296" t="s">
        <v>1411</v>
      </c>
      <c r="G39" s="2297">
        <v>100000</v>
      </c>
      <c r="H39" s="2298" t="s">
        <v>817</v>
      </c>
      <c r="I39" s="3036">
        <v>3</v>
      </c>
      <c r="J39" s="2298"/>
      <c r="K39" s="2302"/>
      <c r="L39" s="2301"/>
      <c r="M39" s="2302"/>
      <c r="N39" s="2303"/>
      <c r="O39" s="2303" t="s">
        <v>820</v>
      </c>
      <c r="P39" s="2259">
        <f>ROUNDUP(G39*I39,-3)</f>
        <v>300000</v>
      </c>
      <c r="Q39" s="712"/>
      <c r="R39" s="712"/>
      <c r="S39" s="713"/>
      <c r="T39" s="714"/>
    </row>
    <row r="40" spans="1:22" ht="14.45" customHeight="1">
      <c r="A40" s="778"/>
      <c r="B40" s="786"/>
      <c r="C40" s="792"/>
      <c r="D40" s="786"/>
      <c r="E40" s="3637" t="s">
        <v>3104</v>
      </c>
      <c r="F40" s="3638"/>
      <c r="G40" s="3638"/>
      <c r="H40" s="3638"/>
      <c r="I40" s="3638"/>
      <c r="J40" s="3638"/>
      <c r="K40" s="3638"/>
      <c r="L40" s="3638"/>
      <c r="M40" s="3638"/>
      <c r="N40" s="3638"/>
      <c r="O40" s="3638"/>
      <c r="P40" s="3639"/>
      <c r="Q40" s="1049">
        <f>P41</f>
        <v>14400000</v>
      </c>
      <c r="R40" s="1049">
        <v>14400000</v>
      </c>
      <c r="S40" s="1050">
        <f>Q40-R40</f>
        <v>0</v>
      </c>
      <c r="T40" s="1051">
        <f t="shared" ref="T40:T41" si="21">S40/R40</f>
        <v>0</v>
      </c>
      <c r="V40" s="128">
        <v>214777000</v>
      </c>
    </row>
    <row r="41" spans="1:22" ht="14.45" customHeight="1">
      <c r="A41" s="778"/>
      <c r="B41" s="786"/>
      <c r="C41" s="792"/>
      <c r="D41" s="786"/>
      <c r="F41" s="1507" t="s">
        <v>1412</v>
      </c>
      <c r="G41" s="686"/>
      <c r="H41" s="679"/>
      <c r="I41" s="679"/>
      <c r="J41" s="679"/>
      <c r="K41" s="679"/>
      <c r="L41" s="1508"/>
      <c r="M41" s="679"/>
      <c r="N41" s="687"/>
      <c r="O41" s="687"/>
      <c r="P41" s="681">
        <f>SUM(P42:P43)</f>
        <v>14400000</v>
      </c>
      <c r="Q41" s="653">
        <f>P41</f>
        <v>14400000</v>
      </c>
      <c r="R41" s="653">
        <v>14400000</v>
      </c>
      <c r="S41" s="654">
        <f t="shared" ref="S41" si="22">Q41-R41</f>
        <v>0</v>
      </c>
      <c r="T41" s="655">
        <f t="shared" si="21"/>
        <v>0</v>
      </c>
    </row>
    <row r="42" spans="1:22" ht="14.45" customHeight="1">
      <c r="A42" s="778"/>
      <c r="B42" s="786"/>
      <c r="C42" s="792"/>
      <c r="D42" s="786"/>
      <c r="E42" s="3282"/>
      <c r="F42" s="1511" t="s">
        <v>739</v>
      </c>
      <c r="G42" s="880">
        <v>1200000</v>
      </c>
      <c r="H42" s="691" t="s">
        <v>21</v>
      </c>
      <c r="I42" s="881">
        <v>12</v>
      </c>
      <c r="J42" s="691"/>
      <c r="K42" s="3783"/>
      <c r="L42" s="3783"/>
      <c r="M42" s="881"/>
      <c r="N42" s="701"/>
      <c r="O42" s="701" t="s">
        <v>22</v>
      </c>
      <c r="P42" s="882">
        <f>G42*I42</f>
        <v>14400000</v>
      </c>
      <c r="Q42" s="694"/>
      <c r="R42" s="694"/>
      <c r="S42" s="695"/>
      <c r="T42" s="696"/>
      <c r="V42" s="1120">
        <f>Q5-V40</f>
        <v>0</v>
      </c>
    </row>
    <row r="43" spans="1:22" ht="14.45" customHeight="1">
      <c r="A43" s="778"/>
      <c r="B43" s="786"/>
      <c r="C43" s="792"/>
      <c r="D43" s="786"/>
      <c r="E43" s="3637" t="s">
        <v>76</v>
      </c>
      <c r="F43" s="3638"/>
      <c r="G43" s="3638"/>
      <c r="H43" s="3638"/>
      <c r="I43" s="3638"/>
      <c r="J43" s="3638"/>
      <c r="K43" s="3638"/>
      <c r="L43" s="3638"/>
      <c r="M43" s="3638"/>
      <c r="N43" s="3638"/>
      <c r="O43" s="3638"/>
      <c r="P43" s="3639"/>
      <c r="Q43" s="645">
        <f>P44+P46+P48</f>
        <v>4820000</v>
      </c>
      <c r="R43" s="645">
        <v>4820000</v>
      </c>
      <c r="S43" s="646">
        <f>Q43-R43</f>
        <v>0</v>
      </c>
      <c r="T43" s="647">
        <f t="shared" ref="T43:T44" si="23">S43/R43</f>
        <v>0</v>
      </c>
    </row>
    <row r="44" spans="1:22" ht="14.45" customHeight="1">
      <c r="A44" s="778"/>
      <c r="B44" s="786"/>
      <c r="C44" s="792"/>
      <c r="D44" s="786"/>
      <c r="F44" s="1507" t="s">
        <v>1413</v>
      </c>
      <c r="G44" s="686"/>
      <c r="H44" s="679"/>
      <c r="I44" s="679"/>
      <c r="J44" s="679"/>
      <c r="K44" s="679"/>
      <c r="L44" s="1508"/>
      <c r="M44" s="679"/>
      <c r="N44" s="687"/>
      <c r="O44" s="687"/>
      <c r="P44" s="681">
        <f>SUM(P45:P45)</f>
        <v>3600000</v>
      </c>
      <c r="Q44" s="653">
        <f>P44</f>
        <v>3600000</v>
      </c>
      <c r="R44" s="653">
        <v>3600000</v>
      </c>
      <c r="S44" s="654">
        <f t="shared" ref="S44" si="24">Q44-R44</f>
        <v>0</v>
      </c>
      <c r="T44" s="655">
        <f t="shared" si="23"/>
        <v>0</v>
      </c>
    </row>
    <row r="45" spans="1:22" ht="14.45" customHeight="1">
      <c r="A45" s="778"/>
      <c r="B45" s="786"/>
      <c r="C45" s="792"/>
      <c r="D45" s="786"/>
      <c r="E45" s="3282"/>
      <c r="F45" s="1511" t="s">
        <v>465</v>
      </c>
      <c r="G45" s="880">
        <v>300000</v>
      </c>
      <c r="H45" s="691" t="s">
        <v>21</v>
      </c>
      <c r="I45" s="881">
        <v>12</v>
      </c>
      <c r="J45" s="691"/>
      <c r="K45" s="881"/>
      <c r="L45" s="1510"/>
      <c r="M45" s="881"/>
      <c r="N45" s="701"/>
      <c r="O45" s="701" t="s">
        <v>22</v>
      </c>
      <c r="P45" s="882">
        <f>ROUNDUP(G45*I45,-3)</f>
        <v>3600000</v>
      </c>
      <c r="Q45" s="694"/>
      <c r="R45" s="694"/>
      <c r="S45" s="695"/>
      <c r="T45" s="696"/>
    </row>
    <row r="46" spans="1:22" ht="14.45" customHeight="1">
      <c r="A46" s="778"/>
      <c r="B46" s="786"/>
      <c r="C46" s="792"/>
      <c r="D46" s="786"/>
      <c r="E46" s="3282"/>
      <c r="F46" s="1507" t="s">
        <v>1414</v>
      </c>
      <c r="G46" s="686"/>
      <c r="H46" s="679"/>
      <c r="I46" s="679"/>
      <c r="J46" s="679"/>
      <c r="K46" s="679"/>
      <c r="L46" s="1508"/>
      <c r="M46" s="679"/>
      <c r="N46" s="687"/>
      <c r="O46" s="687"/>
      <c r="P46" s="681">
        <f>SUM(P47:P47)</f>
        <v>800000</v>
      </c>
      <c r="Q46" s="653">
        <f>P46</f>
        <v>800000</v>
      </c>
      <c r="R46" s="653">
        <v>800000</v>
      </c>
      <c r="S46" s="654">
        <f t="shared" ref="S46" si="25">Q46-R46</f>
        <v>0</v>
      </c>
      <c r="T46" s="655">
        <f t="shared" ref="T46" si="26">S46/R46</f>
        <v>0</v>
      </c>
    </row>
    <row r="47" spans="1:22" ht="14.45" customHeight="1">
      <c r="A47" s="778"/>
      <c r="B47" s="786"/>
      <c r="C47" s="792"/>
      <c r="D47" s="786"/>
      <c r="E47" s="3282"/>
      <c r="F47" s="1509" t="s">
        <v>1415</v>
      </c>
      <c r="G47" s="880">
        <v>200000</v>
      </c>
      <c r="H47" s="691" t="s">
        <v>21</v>
      </c>
      <c r="I47" s="881">
        <v>4</v>
      </c>
      <c r="J47" s="691"/>
      <c r="K47" s="881"/>
      <c r="L47" s="1510"/>
      <c r="M47" s="881"/>
      <c r="N47" s="701"/>
      <c r="O47" s="701" t="s">
        <v>22</v>
      </c>
      <c r="P47" s="882">
        <f>ROUNDUP(G47*I47,-3)</f>
        <v>800000</v>
      </c>
      <c r="Q47" s="694"/>
      <c r="R47" s="694"/>
      <c r="S47" s="695"/>
      <c r="T47" s="696"/>
    </row>
    <row r="48" spans="1:22" ht="14.45" customHeight="1">
      <c r="A48" s="778"/>
      <c r="B48" s="786"/>
      <c r="C48" s="792"/>
      <c r="D48" s="786"/>
      <c r="E48" s="3283"/>
      <c r="F48" s="1507" t="s">
        <v>1416</v>
      </c>
      <c r="G48" s="686"/>
      <c r="H48" s="679"/>
      <c r="I48" s="679"/>
      <c r="J48" s="679"/>
      <c r="K48" s="679"/>
      <c r="L48" s="1508"/>
      <c r="M48" s="679"/>
      <c r="N48" s="687"/>
      <c r="O48" s="687"/>
      <c r="P48" s="681">
        <f>SUM(P49:P49)</f>
        <v>420000</v>
      </c>
      <c r="Q48" s="653">
        <f>P48</f>
        <v>420000</v>
      </c>
      <c r="R48" s="653">
        <v>420000</v>
      </c>
      <c r="S48" s="654">
        <f t="shared" ref="S48" si="27">Q48-R48</f>
        <v>0</v>
      </c>
      <c r="T48" s="655">
        <f t="shared" ref="T48" si="28">S48/R48</f>
        <v>0</v>
      </c>
    </row>
    <row r="49" spans="1:20" ht="14.45" customHeight="1">
      <c r="A49" s="778"/>
      <c r="B49" s="786"/>
      <c r="C49" s="792"/>
      <c r="D49" s="786"/>
      <c r="E49" s="786"/>
      <c r="F49" s="1531" t="s">
        <v>1417</v>
      </c>
      <c r="G49" s="1534">
        <v>105000</v>
      </c>
      <c r="H49" s="1136" t="s">
        <v>21</v>
      </c>
      <c r="I49" s="1536">
        <v>4</v>
      </c>
      <c r="J49" s="1136"/>
      <c r="K49" s="1536"/>
      <c r="L49" s="1535"/>
      <c r="M49" s="1536"/>
      <c r="N49" s="1537"/>
      <c r="O49" s="1537" t="s">
        <v>22</v>
      </c>
      <c r="P49" s="1560">
        <f>ROUNDUP(G49*I49,-3)</f>
        <v>420000</v>
      </c>
      <c r="Q49" s="712"/>
      <c r="R49" s="712"/>
      <c r="S49" s="713"/>
      <c r="T49" s="714"/>
    </row>
    <row r="50" spans="1:20" ht="14.45" customHeight="1">
      <c r="A50" s="778"/>
      <c r="B50" s="786"/>
      <c r="C50" s="792"/>
      <c r="D50" s="786"/>
      <c r="E50" s="3637" t="s">
        <v>3103</v>
      </c>
      <c r="F50" s="3638"/>
      <c r="G50" s="3638"/>
      <c r="H50" s="3638"/>
      <c r="I50" s="3638"/>
      <c r="J50" s="3638"/>
      <c r="K50" s="3638"/>
      <c r="L50" s="3638"/>
      <c r="M50" s="3638"/>
      <c r="N50" s="3638"/>
      <c r="O50" s="3638"/>
      <c r="P50" s="3639"/>
      <c r="Q50" s="645">
        <v>0</v>
      </c>
      <c r="R50" s="645">
        <v>27000000</v>
      </c>
      <c r="S50" s="646">
        <f t="shared" ref="S50:S56" si="29">Q50-R50</f>
        <v>-27000000</v>
      </c>
      <c r="T50" s="647">
        <f t="shared" ref="T50" si="30">S50/R50</f>
        <v>-1</v>
      </c>
    </row>
    <row r="51" spans="1:20" ht="14.45" customHeight="1">
      <c r="A51" s="778"/>
      <c r="B51" s="786"/>
      <c r="C51" s="3685" t="s">
        <v>203</v>
      </c>
      <c r="D51" s="3686"/>
      <c r="E51" s="3686"/>
      <c r="F51" s="3686"/>
      <c r="G51" s="3686"/>
      <c r="H51" s="3686"/>
      <c r="I51" s="3686"/>
      <c r="J51" s="3686"/>
      <c r="K51" s="3686"/>
      <c r="L51" s="3686"/>
      <c r="M51" s="3686"/>
      <c r="N51" s="3686"/>
      <c r="O51" s="3686"/>
      <c r="P51" s="3687"/>
      <c r="Q51" s="872">
        <f>SUM(Q52,Q54)</f>
        <v>28600000</v>
      </c>
      <c r="R51" s="872">
        <f>SUM(R52,R54)</f>
        <v>31400000</v>
      </c>
      <c r="S51" s="867">
        <f t="shared" si="29"/>
        <v>-2800000</v>
      </c>
      <c r="T51" s="868">
        <f t="shared" ref="T51:T52" si="31">S51/R51</f>
        <v>-8.9171974522292988E-2</v>
      </c>
    </row>
    <row r="52" spans="1:20" s="495" customFormat="1" ht="14.45" customHeight="1">
      <c r="A52" s="513"/>
      <c r="B52" s="522"/>
      <c r="C52" s="531"/>
      <c r="D52" s="532" t="s">
        <v>120</v>
      </c>
      <c r="E52" s="3275"/>
      <c r="F52" s="533"/>
      <c r="G52" s="534"/>
      <c r="H52" s="533"/>
      <c r="I52" s="533"/>
      <c r="J52" s="533"/>
      <c r="K52" s="533"/>
      <c r="L52" s="1737"/>
      <c r="M52" s="533"/>
      <c r="N52" s="535"/>
      <c r="O52" s="535"/>
      <c r="P52" s="533"/>
      <c r="Q52" s="536">
        <f>Q53</f>
        <v>0</v>
      </c>
      <c r="R52" s="536">
        <f>R53</f>
        <v>2000000</v>
      </c>
      <c r="S52" s="639">
        <f t="shared" si="29"/>
        <v>-2000000</v>
      </c>
      <c r="T52" s="640">
        <f t="shared" si="31"/>
        <v>-1</v>
      </c>
    </row>
    <row r="53" spans="1:20" s="495" customFormat="1" ht="14.45" customHeight="1">
      <c r="A53" s="513"/>
      <c r="B53" s="522"/>
      <c r="C53" s="531"/>
      <c r="D53" s="539"/>
      <c r="E53" s="3637" t="s">
        <v>3102</v>
      </c>
      <c r="F53" s="3638"/>
      <c r="G53" s="3638"/>
      <c r="H53" s="3638"/>
      <c r="I53" s="3638"/>
      <c r="J53" s="3638"/>
      <c r="K53" s="3638"/>
      <c r="L53" s="3638"/>
      <c r="M53" s="3638"/>
      <c r="N53" s="3638"/>
      <c r="O53" s="3638"/>
      <c r="P53" s="3639"/>
      <c r="Q53" s="645">
        <v>0</v>
      </c>
      <c r="R53" s="540">
        <v>2000000</v>
      </c>
      <c r="S53" s="646">
        <f t="shared" si="29"/>
        <v>-2000000</v>
      </c>
      <c r="T53" s="647">
        <f t="shared" ref="T53" si="32">S53/R53</f>
        <v>-1</v>
      </c>
    </row>
    <row r="54" spans="1:20" ht="14.45" customHeight="1">
      <c r="A54" s="778"/>
      <c r="B54" s="786"/>
      <c r="C54" s="792"/>
      <c r="D54" s="684" t="s">
        <v>258</v>
      </c>
      <c r="E54" s="2229"/>
      <c r="F54" s="1269"/>
      <c r="G54" s="636"/>
      <c r="H54" s="635"/>
      <c r="I54" s="635"/>
      <c r="J54" s="635"/>
      <c r="K54" s="635"/>
      <c r="L54" s="1268"/>
      <c r="M54" s="635"/>
      <c r="N54" s="637"/>
      <c r="O54" s="637"/>
      <c r="P54" s="635"/>
      <c r="Q54" s="638">
        <f>Q55+Q78+Q87</f>
        <v>28600000</v>
      </c>
      <c r="R54" s="638">
        <f>R55+R78+R87</f>
        <v>29400000</v>
      </c>
      <c r="S54" s="639">
        <f t="shared" si="29"/>
        <v>-800000</v>
      </c>
      <c r="T54" s="640">
        <f t="shared" ref="T54:T56" si="33">S54/R54</f>
        <v>-2.7210884353741496E-2</v>
      </c>
    </row>
    <row r="55" spans="1:20" ht="14.45" customHeight="1">
      <c r="A55" s="778"/>
      <c r="B55" s="786"/>
      <c r="C55" s="792"/>
      <c r="D55" s="844"/>
      <c r="E55" s="3637" t="s">
        <v>3101</v>
      </c>
      <c r="F55" s="3638"/>
      <c r="G55" s="3638"/>
      <c r="H55" s="3638"/>
      <c r="I55" s="3638"/>
      <c r="J55" s="3638"/>
      <c r="K55" s="3638"/>
      <c r="L55" s="3638"/>
      <c r="M55" s="3638"/>
      <c r="N55" s="3638"/>
      <c r="O55" s="3638"/>
      <c r="P55" s="3639"/>
      <c r="Q55" s="645">
        <f>P56+P59+P67+P71</f>
        <v>18000000</v>
      </c>
      <c r="R55" s="645">
        <f>SUM(R56:R77)</f>
        <v>19500000</v>
      </c>
      <c r="S55" s="646">
        <f t="shared" si="29"/>
        <v>-1500000</v>
      </c>
      <c r="T55" s="647">
        <f t="shared" si="33"/>
        <v>-7.6923076923076927E-2</v>
      </c>
    </row>
    <row r="56" spans="1:20" ht="14.45" customHeight="1">
      <c r="A56" s="778"/>
      <c r="B56" s="786"/>
      <c r="C56" s="792"/>
      <c r="D56" s="786"/>
      <c r="F56" s="1507" t="s">
        <v>1418</v>
      </c>
      <c r="G56" s="686"/>
      <c r="H56" s="679"/>
      <c r="I56" s="679"/>
      <c r="J56" s="679"/>
      <c r="K56" s="679"/>
      <c r="L56" s="1508"/>
      <c r="M56" s="679"/>
      <c r="N56" s="687"/>
      <c r="O56" s="687"/>
      <c r="P56" s="681">
        <f>SUM(P57:P58)</f>
        <v>2000000</v>
      </c>
      <c r="Q56" s="653">
        <f>P56</f>
        <v>2000000</v>
      </c>
      <c r="R56" s="653">
        <v>2000000</v>
      </c>
      <c r="S56" s="654">
        <f t="shared" si="29"/>
        <v>0</v>
      </c>
      <c r="T56" s="655">
        <f t="shared" si="33"/>
        <v>0</v>
      </c>
    </row>
    <row r="57" spans="1:20" ht="14.45" customHeight="1">
      <c r="A57" s="778"/>
      <c r="B57" s="786"/>
      <c r="C57" s="792"/>
      <c r="D57" s="786"/>
      <c r="F57" s="1511" t="s">
        <v>2948</v>
      </c>
      <c r="G57" s="702">
        <v>3000</v>
      </c>
      <c r="H57" s="691" t="s">
        <v>21</v>
      </c>
      <c r="I57" s="876">
        <v>15</v>
      </c>
      <c r="J57" s="691" t="s">
        <v>21</v>
      </c>
      <c r="K57" s="877">
        <v>20</v>
      </c>
      <c r="L57" s="1512"/>
      <c r="M57" s="691"/>
      <c r="N57" s="701"/>
      <c r="O57" s="701" t="s">
        <v>22</v>
      </c>
      <c r="P57" s="882">
        <f>ROUNDUP(G57*I57*K57,-3)</f>
        <v>900000</v>
      </c>
      <c r="Q57" s="694"/>
      <c r="R57" s="694"/>
      <c r="S57" s="695"/>
      <c r="T57" s="696"/>
    </row>
    <row r="58" spans="1:20" ht="14.45" customHeight="1">
      <c r="A58" s="778"/>
      <c r="B58" s="786"/>
      <c r="C58" s="792"/>
      <c r="D58" s="786"/>
      <c r="F58" s="1511" t="s">
        <v>2949</v>
      </c>
      <c r="G58" s="702">
        <v>110000</v>
      </c>
      <c r="H58" s="691" t="s">
        <v>21</v>
      </c>
      <c r="I58" s="877">
        <v>10</v>
      </c>
      <c r="J58" s="691"/>
      <c r="K58" s="877"/>
      <c r="L58" s="1512"/>
      <c r="M58" s="691"/>
      <c r="N58" s="701"/>
      <c r="O58" s="701" t="s">
        <v>22</v>
      </c>
      <c r="P58" s="882">
        <f>ROUNDUP(G58*I58,-3)</f>
        <v>1100000</v>
      </c>
      <c r="Q58" s="694"/>
      <c r="R58" s="694"/>
      <c r="S58" s="695"/>
      <c r="T58" s="696"/>
    </row>
    <row r="59" spans="1:20" ht="14.45" customHeight="1">
      <c r="A59" s="778"/>
      <c r="B59" s="786"/>
      <c r="C59" s="792"/>
      <c r="D59" s="786"/>
      <c r="F59" s="1507" t="s">
        <v>1419</v>
      </c>
      <c r="G59" s="686"/>
      <c r="H59" s="679"/>
      <c r="I59" s="679"/>
      <c r="J59" s="679"/>
      <c r="K59" s="679"/>
      <c r="L59" s="1508"/>
      <c r="M59" s="679"/>
      <c r="N59" s="687"/>
      <c r="O59" s="687"/>
      <c r="P59" s="681">
        <f>SUM(P60:P66)</f>
        <v>7000000</v>
      </c>
      <c r="Q59" s="653">
        <f>P59</f>
        <v>7000000</v>
      </c>
      <c r="R59" s="653">
        <v>10000000</v>
      </c>
      <c r="S59" s="654">
        <f t="shared" ref="S59" si="34">Q59-R59</f>
        <v>-3000000</v>
      </c>
      <c r="T59" s="655">
        <f t="shared" ref="T59" si="35">S59/R59</f>
        <v>-0.3</v>
      </c>
    </row>
    <row r="60" spans="1:20" ht="14.45" customHeight="1">
      <c r="A60" s="778"/>
      <c r="B60" s="786"/>
      <c r="C60" s="792"/>
      <c r="D60" s="786"/>
      <c r="F60" s="1511" t="s">
        <v>1420</v>
      </c>
      <c r="G60" s="702">
        <v>400000</v>
      </c>
      <c r="H60" s="691" t="s">
        <v>21</v>
      </c>
      <c r="I60" s="877">
        <v>5</v>
      </c>
      <c r="J60" s="691"/>
      <c r="K60" s="877"/>
      <c r="L60" s="1512"/>
      <c r="M60" s="691"/>
      <c r="N60" s="701"/>
      <c r="O60" s="701" t="s">
        <v>22</v>
      </c>
      <c r="P60" s="882">
        <f t="shared" ref="P60:P66" si="36">ROUNDUP(G60*I60,-3)</f>
        <v>2000000</v>
      </c>
      <c r="Q60" s="694"/>
      <c r="R60" s="694"/>
      <c r="S60" s="695"/>
      <c r="T60" s="696"/>
    </row>
    <row r="61" spans="1:20" ht="14.45" customHeight="1">
      <c r="A61" s="778"/>
      <c r="B61" s="786"/>
      <c r="C61" s="792"/>
      <c r="D61" s="786"/>
      <c r="F61" s="1511" t="s">
        <v>1421</v>
      </c>
      <c r="G61" s="702">
        <v>200000</v>
      </c>
      <c r="H61" s="691" t="s">
        <v>21</v>
      </c>
      <c r="I61" s="877">
        <v>5</v>
      </c>
      <c r="J61" s="691"/>
      <c r="K61" s="877"/>
      <c r="L61" s="1512"/>
      <c r="M61" s="691"/>
      <c r="N61" s="701"/>
      <c r="O61" s="701" t="s">
        <v>22</v>
      </c>
      <c r="P61" s="882">
        <f t="shared" si="36"/>
        <v>1000000</v>
      </c>
      <c r="Q61" s="694"/>
      <c r="R61" s="694"/>
      <c r="S61" s="695"/>
      <c r="T61" s="696"/>
    </row>
    <row r="62" spans="1:20" ht="14.45" customHeight="1">
      <c r="A62" s="778"/>
      <c r="B62" s="786"/>
      <c r="C62" s="792"/>
      <c r="D62" s="786"/>
      <c r="F62" s="1511" t="s">
        <v>1422</v>
      </c>
      <c r="G62" s="702">
        <v>200000</v>
      </c>
      <c r="H62" s="691" t="s">
        <v>21</v>
      </c>
      <c r="I62" s="877">
        <v>5</v>
      </c>
      <c r="J62" s="691"/>
      <c r="K62" s="877"/>
      <c r="L62" s="1512"/>
      <c r="M62" s="691"/>
      <c r="N62" s="701"/>
      <c r="O62" s="701" t="s">
        <v>22</v>
      </c>
      <c r="P62" s="882">
        <f t="shared" si="36"/>
        <v>1000000</v>
      </c>
      <c r="Q62" s="694"/>
      <c r="R62" s="694"/>
      <c r="S62" s="695"/>
      <c r="T62" s="696"/>
    </row>
    <row r="63" spans="1:20" ht="14.45" customHeight="1">
      <c r="A63" s="778"/>
      <c r="B63" s="786"/>
      <c r="C63" s="792"/>
      <c r="D63" s="786"/>
      <c r="F63" s="1511" t="s">
        <v>1423</v>
      </c>
      <c r="G63" s="702">
        <v>150000</v>
      </c>
      <c r="H63" s="691" t="s">
        <v>21</v>
      </c>
      <c r="I63" s="877">
        <v>2</v>
      </c>
      <c r="J63" s="691"/>
      <c r="K63" s="877"/>
      <c r="L63" s="1512"/>
      <c r="M63" s="691"/>
      <c r="N63" s="701"/>
      <c r="O63" s="701" t="s">
        <v>22</v>
      </c>
      <c r="P63" s="882">
        <f t="shared" si="36"/>
        <v>300000</v>
      </c>
      <c r="Q63" s="694"/>
      <c r="R63" s="694"/>
      <c r="S63" s="695"/>
      <c r="T63" s="696"/>
    </row>
    <row r="64" spans="1:20" ht="14.45" customHeight="1">
      <c r="A64" s="778"/>
      <c r="B64" s="786"/>
      <c r="C64" s="792"/>
      <c r="D64" s="786"/>
      <c r="F64" s="1511" t="s">
        <v>1424</v>
      </c>
      <c r="G64" s="702">
        <v>30000</v>
      </c>
      <c r="H64" s="691" t="s">
        <v>21</v>
      </c>
      <c r="I64" s="876">
        <v>35</v>
      </c>
      <c r="J64" s="691"/>
      <c r="K64" s="877"/>
      <c r="L64" s="1512"/>
      <c r="M64" s="691"/>
      <c r="N64" s="701"/>
      <c r="O64" s="701" t="s">
        <v>22</v>
      </c>
      <c r="P64" s="882">
        <f t="shared" si="36"/>
        <v>1050000</v>
      </c>
      <c r="Q64" s="694"/>
      <c r="R64" s="694"/>
      <c r="S64" s="695"/>
      <c r="T64" s="696"/>
    </row>
    <row r="65" spans="1:20" ht="14.45" customHeight="1">
      <c r="A65" s="778"/>
      <c r="B65" s="786"/>
      <c r="C65" s="792"/>
      <c r="D65" s="786"/>
      <c r="F65" s="1511" t="s">
        <v>1425</v>
      </c>
      <c r="G65" s="702">
        <v>30000</v>
      </c>
      <c r="H65" s="691" t="s">
        <v>21</v>
      </c>
      <c r="I65" s="876">
        <v>35</v>
      </c>
      <c r="J65" s="691"/>
      <c r="K65" s="877"/>
      <c r="L65" s="1512"/>
      <c r="M65" s="691"/>
      <c r="N65" s="701"/>
      <c r="O65" s="701" t="s">
        <v>22</v>
      </c>
      <c r="P65" s="882">
        <f t="shared" si="36"/>
        <v>1050000</v>
      </c>
      <c r="Q65" s="694"/>
      <c r="R65" s="694"/>
      <c r="S65" s="695"/>
      <c r="T65" s="696"/>
    </row>
    <row r="66" spans="1:20" ht="14.45" customHeight="1">
      <c r="A66" s="778"/>
      <c r="B66" s="786"/>
      <c r="C66" s="792"/>
      <c r="D66" s="786"/>
      <c r="F66" s="1511" t="s">
        <v>1426</v>
      </c>
      <c r="G66" s="702">
        <v>300000</v>
      </c>
      <c r="H66" s="691" t="s">
        <v>21</v>
      </c>
      <c r="I66" s="1163">
        <v>2</v>
      </c>
      <c r="J66" s="691"/>
      <c r="K66" s="877"/>
      <c r="L66" s="1512"/>
      <c r="M66" s="691"/>
      <c r="N66" s="701"/>
      <c r="O66" s="701" t="s">
        <v>22</v>
      </c>
      <c r="P66" s="882">
        <f t="shared" si="36"/>
        <v>600000</v>
      </c>
      <c r="Q66" s="694"/>
      <c r="R66" s="694"/>
      <c r="S66" s="695"/>
      <c r="T66" s="696"/>
    </row>
    <row r="67" spans="1:20" ht="14.45" customHeight="1">
      <c r="A67" s="778"/>
      <c r="B67" s="786"/>
      <c r="C67" s="792"/>
      <c r="D67" s="786"/>
      <c r="F67" s="1507" t="s">
        <v>1427</v>
      </c>
      <c r="G67" s="686"/>
      <c r="H67" s="679"/>
      <c r="I67" s="679"/>
      <c r="J67" s="679"/>
      <c r="K67" s="679"/>
      <c r="L67" s="1508"/>
      <c r="M67" s="679"/>
      <c r="N67" s="687"/>
      <c r="O67" s="687"/>
      <c r="P67" s="681">
        <f>SUM(P68:P70)</f>
        <v>4500000</v>
      </c>
      <c r="Q67" s="653">
        <f>P67</f>
        <v>4500000</v>
      </c>
      <c r="R67" s="653">
        <v>5000000</v>
      </c>
      <c r="S67" s="654">
        <f t="shared" ref="S67" si="37">Q67-R67</f>
        <v>-500000</v>
      </c>
      <c r="T67" s="655">
        <f t="shared" ref="T67" si="38">S67/R67</f>
        <v>-0.1</v>
      </c>
    </row>
    <row r="68" spans="1:20" ht="14.45" customHeight="1">
      <c r="A68" s="778"/>
      <c r="B68" s="786"/>
      <c r="C68" s="792"/>
      <c r="D68" s="786"/>
      <c r="F68" s="1511" t="s">
        <v>1428</v>
      </c>
      <c r="G68" s="702">
        <v>2000000</v>
      </c>
      <c r="H68" s="691" t="s">
        <v>21</v>
      </c>
      <c r="I68" s="877">
        <v>1</v>
      </c>
      <c r="J68" s="691"/>
      <c r="K68" s="877"/>
      <c r="L68" s="1512"/>
      <c r="M68" s="691"/>
      <c r="N68" s="701"/>
      <c r="O68" s="701" t="s">
        <v>22</v>
      </c>
      <c r="P68" s="882">
        <f>ROUNDUP(G68*I68,-3)</f>
        <v>2000000</v>
      </c>
      <c r="Q68" s="694"/>
      <c r="R68" s="694"/>
      <c r="S68" s="695"/>
      <c r="T68" s="696"/>
    </row>
    <row r="69" spans="1:20" ht="14.45" customHeight="1">
      <c r="A69" s="778"/>
      <c r="B69" s="786"/>
      <c r="C69" s="792"/>
      <c r="D69" s="786"/>
      <c r="F69" s="1511" t="s">
        <v>1429</v>
      </c>
      <c r="G69" s="702">
        <v>1000000</v>
      </c>
      <c r="H69" s="691" t="s">
        <v>21</v>
      </c>
      <c r="I69" s="877">
        <v>1</v>
      </c>
      <c r="J69" s="691"/>
      <c r="K69" s="877"/>
      <c r="L69" s="1512"/>
      <c r="M69" s="691"/>
      <c r="N69" s="701"/>
      <c r="O69" s="701" t="s">
        <v>22</v>
      </c>
      <c r="P69" s="882">
        <f>ROUNDUP(G69*I69,-3)</f>
        <v>1000000</v>
      </c>
      <c r="Q69" s="694"/>
      <c r="R69" s="694"/>
      <c r="S69" s="695"/>
      <c r="T69" s="696"/>
    </row>
    <row r="70" spans="1:20" ht="14.45" customHeight="1">
      <c r="A70" s="778"/>
      <c r="B70" s="786"/>
      <c r="C70" s="792"/>
      <c r="D70" s="786"/>
      <c r="E70" s="3283"/>
      <c r="F70" s="1511" t="s">
        <v>1430</v>
      </c>
      <c r="G70" s="702">
        <v>500000</v>
      </c>
      <c r="H70" s="691" t="s">
        <v>21</v>
      </c>
      <c r="I70" s="877">
        <v>3</v>
      </c>
      <c r="J70" s="691"/>
      <c r="K70" s="877"/>
      <c r="L70" s="1512"/>
      <c r="M70" s="691"/>
      <c r="N70" s="701"/>
      <c r="O70" s="701" t="s">
        <v>22</v>
      </c>
      <c r="P70" s="882">
        <f>ROUNDUP(G70*I70,-3)</f>
        <v>1500000</v>
      </c>
      <c r="Q70" s="694"/>
      <c r="R70" s="694"/>
      <c r="S70" s="695"/>
      <c r="T70" s="696"/>
    </row>
    <row r="71" spans="1:20" ht="14.45" customHeight="1">
      <c r="A71" s="778"/>
      <c r="B71" s="786"/>
      <c r="C71" s="792"/>
      <c r="D71" s="786"/>
      <c r="E71" s="3283"/>
      <c r="F71" s="1507" t="s">
        <v>952</v>
      </c>
      <c r="G71" s="686"/>
      <c r="H71" s="679"/>
      <c r="I71" s="679"/>
      <c r="J71" s="679"/>
      <c r="K71" s="679"/>
      <c r="L71" s="1508"/>
      <c r="M71" s="679"/>
      <c r="N71" s="687"/>
      <c r="O71" s="687"/>
      <c r="P71" s="681">
        <f>SUM(P72:P75)</f>
        <v>4500000</v>
      </c>
      <c r="Q71" s="653">
        <f>P71</f>
        <v>4500000</v>
      </c>
      <c r="R71" s="653">
        <v>0</v>
      </c>
      <c r="S71" s="654">
        <f t="shared" ref="S71" si="39">Q71-R71</f>
        <v>4500000</v>
      </c>
      <c r="T71" s="655"/>
    </row>
    <row r="72" spans="1:20" ht="14.45" customHeight="1">
      <c r="A72" s="778"/>
      <c r="B72" s="786"/>
      <c r="C72" s="792"/>
      <c r="D72" s="786"/>
      <c r="E72" s="3283"/>
      <c r="F72" s="1511" t="s">
        <v>1373</v>
      </c>
      <c r="G72" s="702">
        <v>1000000</v>
      </c>
      <c r="H72" s="691" t="s">
        <v>21</v>
      </c>
      <c r="I72" s="878">
        <v>1</v>
      </c>
      <c r="J72" s="691"/>
      <c r="K72" s="877"/>
      <c r="L72" s="1512"/>
      <c r="M72" s="691"/>
      <c r="N72" s="701"/>
      <c r="O72" s="701" t="s">
        <v>22</v>
      </c>
      <c r="P72" s="882">
        <f>ROUNDUP(G72*I72,-3)</f>
        <v>1000000</v>
      </c>
      <c r="Q72" s="694"/>
      <c r="R72" s="694"/>
      <c r="S72" s="695"/>
      <c r="T72" s="696"/>
    </row>
    <row r="73" spans="1:20" ht="14.45" customHeight="1">
      <c r="A73" s="778"/>
      <c r="B73" s="786"/>
      <c r="C73" s="792"/>
      <c r="D73" s="786"/>
      <c r="E73" s="3283"/>
      <c r="F73" s="1511" t="s">
        <v>1431</v>
      </c>
      <c r="G73" s="702">
        <v>1250000</v>
      </c>
      <c r="H73" s="691" t="s">
        <v>21</v>
      </c>
      <c r="I73" s="878">
        <v>1</v>
      </c>
      <c r="J73" s="691"/>
      <c r="K73" s="877"/>
      <c r="L73" s="1512"/>
      <c r="M73" s="691"/>
      <c r="N73" s="701"/>
      <c r="O73" s="701" t="s">
        <v>22</v>
      </c>
      <c r="P73" s="882">
        <f>ROUNDUP(G73*I73,-3)</f>
        <v>1250000</v>
      </c>
      <c r="Q73" s="694"/>
      <c r="R73" s="694"/>
      <c r="S73" s="695"/>
      <c r="T73" s="696"/>
    </row>
    <row r="74" spans="1:20" ht="14.45" customHeight="1">
      <c r="A74" s="778"/>
      <c r="B74" s="786"/>
      <c r="C74" s="792"/>
      <c r="D74" s="786"/>
      <c r="E74" s="3283"/>
      <c r="F74" s="1511" t="s">
        <v>1432</v>
      </c>
      <c r="G74" s="1552">
        <v>1500000</v>
      </c>
      <c r="H74" s="1168" t="s">
        <v>21</v>
      </c>
      <c r="I74" s="1553">
        <v>1</v>
      </c>
      <c r="J74" s="1168"/>
      <c r="K74" s="2291"/>
      <c r="L74" s="1554"/>
      <c r="M74" s="1168"/>
      <c r="N74" s="692"/>
      <c r="O74" s="692" t="s">
        <v>22</v>
      </c>
      <c r="P74" s="693">
        <f>ROUNDUP(G74*I74,-3)</f>
        <v>1500000</v>
      </c>
      <c r="Q74" s="666"/>
      <c r="R74" s="666"/>
      <c r="S74" s="667"/>
      <c r="T74" s="668"/>
    </row>
    <row r="75" spans="1:20" ht="14.45" customHeight="1">
      <c r="A75" s="778"/>
      <c r="B75" s="786"/>
      <c r="C75" s="792"/>
      <c r="D75" s="786"/>
      <c r="E75" s="3283"/>
      <c r="F75" s="1511" t="s">
        <v>1276</v>
      </c>
      <c r="G75" s="702">
        <v>250000</v>
      </c>
      <c r="H75" s="691" t="s">
        <v>21</v>
      </c>
      <c r="I75" s="877">
        <v>3</v>
      </c>
      <c r="J75" s="691"/>
      <c r="K75" s="877"/>
      <c r="L75" s="1512"/>
      <c r="M75" s="691"/>
      <c r="N75" s="701"/>
      <c r="O75" s="701" t="s">
        <v>22</v>
      </c>
      <c r="P75" s="882">
        <f>ROUNDUP(G75*I75,-3)</f>
        <v>750000</v>
      </c>
      <c r="Q75" s="694"/>
      <c r="R75" s="694"/>
      <c r="S75" s="695"/>
      <c r="T75" s="696"/>
    </row>
    <row r="76" spans="1:20" ht="14.45" customHeight="1">
      <c r="A76" s="778"/>
      <c r="B76" s="786"/>
      <c r="C76" s="792"/>
      <c r="D76" s="786"/>
      <c r="E76" s="3283"/>
      <c r="F76" s="1507" t="s">
        <v>2889</v>
      </c>
      <c r="G76" s="686"/>
      <c r="H76" s="679"/>
      <c r="I76" s="679"/>
      <c r="J76" s="679"/>
      <c r="K76" s="679"/>
      <c r="L76" s="1508"/>
      <c r="M76" s="679"/>
      <c r="N76" s="687"/>
      <c r="O76" s="687"/>
      <c r="P76" s="681"/>
      <c r="Q76" s="653">
        <f>P76</f>
        <v>0</v>
      </c>
      <c r="R76" s="653">
        <v>500000</v>
      </c>
      <c r="S76" s="654">
        <f t="shared" ref="S76:S77" si="40">Q76-R76</f>
        <v>-500000</v>
      </c>
      <c r="T76" s="655">
        <f t="shared" ref="T76:T77" si="41">S76/R76</f>
        <v>-1</v>
      </c>
    </row>
    <row r="77" spans="1:20" ht="14.45" customHeight="1">
      <c r="A77" s="1130"/>
      <c r="B77" s="846"/>
      <c r="C77" s="780"/>
      <c r="D77" s="846"/>
      <c r="E77" s="3360"/>
      <c r="F77" s="1574" t="s">
        <v>2890</v>
      </c>
      <c r="G77" s="1575"/>
      <c r="H77" s="1576"/>
      <c r="I77" s="1576"/>
      <c r="J77" s="1576"/>
      <c r="K77" s="1576"/>
      <c r="L77" s="1577"/>
      <c r="M77" s="1576"/>
      <c r="N77" s="1578"/>
      <c r="O77" s="1578"/>
      <c r="P77" s="1579"/>
      <c r="Q77" s="683">
        <f>P77</f>
        <v>0</v>
      </c>
      <c r="R77" s="683">
        <v>2000000</v>
      </c>
      <c r="S77" s="1489">
        <f t="shared" si="40"/>
        <v>-2000000</v>
      </c>
      <c r="T77" s="1490">
        <f t="shared" si="41"/>
        <v>-1</v>
      </c>
    </row>
    <row r="78" spans="1:20" ht="14.45" customHeight="1">
      <c r="A78" s="778"/>
      <c r="B78" s="786"/>
      <c r="C78" s="792"/>
      <c r="D78" s="786"/>
      <c r="E78" s="3637" t="s">
        <v>3058</v>
      </c>
      <c r="F78" s="3638"/>
      <c r="G78" s="3638"/>
      <c r="H78" s="3638"/>
      <c r="I78" s="3638"/>
      <c r="J78" s="3638"/>
      <c r="K78" s="3638"/>
      <c r="L78" s="3638"/>
      <c r="M78" s="3638"/>
      <c r="N78" s="3638"/>
      <c r="O78" s="3638"/>
      <c r="P78" s="3639"/>
      <c r="Q78" s="1049">
        <f>P79</f>
        <v>3400000</v>
      </c>
      <c r="R78" s="1049">
        <f>SUM(R79:R86)</f>
        <v>9900000</v>
      </c>
      <c r="S78" s="1050">
        <f>Q78-R78</f>
        <v>-6500000</v>
      </c>
      <c r="T78" s="1051">
        <f t="shared" ref="T78" si="42">S78/R78</f>
        <v>-0.65656565656565657</v>
      </c>
    </row>
    <row r="79" spans="1:20" ht="14.45" customHeight="1">
      <c r="A79" s="778"/>
      <c r="B79" s="786"/>
      <c r="C79" s="792"/>
      <c r="D79" s="786"/>
      <c r="E79" s="3307"/>
      <c r="F79" s="1507" t="s">
        <v>1522</v>
      </c>
      <c r="G79" s="686"/>
      <c r="H79" s="679"/>
      <c r="I79" s="679"/>
      <c r="J79" s="679"/>
      <c r="K79" s="679"/>
      <c r="L79" s="1508"/>
      <c r="M79" s="679"/>
      <c r="N79" s="687"/>
      <c r="O79" s="687"/>
      <c r="P79" s="681">
        <f>SUM(P80:P83)</f>
        <v>3400000</v>
      </c>
      <c r="Q79" s="653">
        <f>P79</f>
        <v>3400000</v>
      </c>
      <c r="R79" s="653">
        <v>0</v>
      </c>
      <c r="S79" s="654">
        <f t="shared" ref="S79" si="43">Q79-R79</f>
        <v>3400000</v>
      </c>
      <c r="T79" s="655"/>
    </row>
    <row r="80" spans="1:20" ht="14.45" customHeight="1">
      <c r="A80" s="778"/>
      <c r="B80" s="786"/>
      <c r="C80" s="792"/>
      <c r="D80" s="786"/>
      <c r="E80" s="3307"/>
      <c r="F80" s="1511" t="s">
        <v>1523</v>
      </c>
      <c r="G80" s="702">
        <v>200000</v>
      </c>
      <c r="H80" s="691" t="s">
        <v>21</v>
      </c>
      <c r="I80" s="877">
        <v>6</v>
      </c>
      <c r="J80" s="691"/>
      <c r="K80" s="877"/>
      <c r="L80" s="1512"/>
      <c r="M80" s="691"/>
      <c r="N80" s="701"/>
      <c r="O80" s="701" t="s">
        <v>22</v>
      </c>
      <c r="P80" s="882">
        <f>ROUNDUP(G80*I80,-3)</f>
        <v>1200000</v>
      </c>
      <c r="Q80" s="694"/>
      <c r="R80" s="694"/>
      <c r="S80" s="695"/>
      <c r="T80" s="696"/>
    </row>
    <row r="81" spans="1:20" ht="14.45" customHeight="1">
      <c r="A81" s="778"/>
      <c r="B81" s="786"/>
      <c r="C81" s="792"/>
      <c r="D81" s="786"/>
      <c r="E81" s="3307"/>
      <c r="F81" s="1511" t="s">
        <v>1524</v>
      </c>
      <c r="G81" s="702">
        <v>500000</v>
      </c>
      <c r="H81" s="691" t="s">
        <v>21</v>
      </c>
      <c r="I81" s="878">
        <v>2</v>
      </c>
      <c r="J81" s="691"/>
      <c r="K81" s="877"/>
      <c r="L81" s="1512"/>
      <c r="M81" s="691"/>
      <c r="N81" s="701"/>
      <c r="O81" s="701" t="s">
        <v>22</v>
      </c>
      <c r="P81" s="882">
        <f>ROUNDUP(G81*I81,-3)</f>
        <v>1000000</v>
      </c>
      <c r="Q81" s="694"/>
      <c r="R81" s="694"/>
      <c r="S81" s="695"/>
      <c r="T81" s="696"/>
    </row>
    <row r="82" spans="1:20" ht="14.45" customHeight="1">
      <c r="A82" s="778"/>
      <c r="B82" s="786"/>
      <c r="C82" s="792"/>
      <c r="D82" s="786"/>
      <c r="E82" s="3307"/>
      <c r="F82" s="1511" t="s">
        <v>1525</v>
      </c>
      <c r="G82" s="702">
        <v>350000</v>
      </c>
      <c r="H82" s="691" t="s">
        <v>21</v>
      </c>
      <c r="I82" s="877">
        <v>2</v>
      </c>
      <c r="J82" s="691"/>
      <c r="K82" s="877"/>
      <c r="L82" s="1512"/>
      <c r="M82" s="691"/>
      <c r="N82" s="701"/>
      <c r="O82" s="701" t="s">
        <v>22</v>
      </c>
      <c r="P82" s="882">
        <f>ROUNDUP(G82*I82,-3)</f>
        <v>700000</v>
      </c>
      <c r="Q82" s="694"/>
      <c r="R82" s="694"/>
      <c r="S82" s="695"/>
      <c r="T82" s="696"/>
    </row>
    <row r="83" spans="1:20" ht="14.45" customHeight="1">
      <c r="A83" s="778"/>
      <c r="B83" s="786"/>
      <c r="C83" s="792"/>
      <c r="D83" s="786"/>
      <c r="E83" s="3307"/>
      <c r="F83" s="1511" t="s">
        <v>1495</v>
      </c>
      <c r="G83" s="702">
        <v>250000</v>
      </c>
      <c r="H83" s="691" t="s">
        <v>21</v>
      </c>
      <c r="I83" s="877">
        <v>2</v>
      </c>
      <c r="J83" s="691"/>
      <c r="K83" s="877"/>
      <c r="L83" s="1512"/>
      <c r="M83" s="691"/>
      <c r="N83" s="701"/>
      <c r="O83" s="701" t="s">
        <v>22</v>
      </c>
      <c r="P83" s="882">
        <f>ROUNDUP(G83*I83,-3)</f>
        <v>500000</v>
      </c>
      <c r="Q83" s="694"/>
      <c r="R83" s="694"/>
      <c r="S83" s="695"/>
      <c r="T83" s="696"/>
    </row>
    <row r="84" spans="1:20" ht="14.45" customHeight="1">
      <c r="A84" s="778"/>
      <c r="B84" s="786"/>
      <c r="C84" s="792"/>
      <c r="D84" s="786"/>
      <c r="E84" s="3307"/>
      <c r="F84" s="1507" t="s">
        <v>2886</v>
      </c>
      <c r="G84" s="686"/>
      <c r="H84" s="679"/>
      <c r="I84" s="679"/>
      <c r="J84" s="679"/>
      <c r="K84" s="679"/>
      <c r="L84" s="1508"/>
      <c r="M84" s="679"/>
      <c r="N84" s="687"/>
      <c r="O84" s="687"/>
      <c r="P84" s="681"/>
      <c r="Q84" s="653">
        <f>P84</f>
        <v>0</v>
      </c>
      <c r="R84" s="653">
        <v>1500000</v>
      </c>
      <c r="S84" s="654">
        <f t="shared" ref="S84:S86" si="44">Q84-R84</f>
        <v>-1500000</v>
      </c>
      <c r="T84" s="655">
        <f t="shared" ref="T84:T86" si="45">S84/R84</f>
        <v>-1</v>
      </c>
    </row>
    <row r="85" spans="1:20" ht="14.45" customHeight="1">
      <c r="A85" s="778"/>
      <c r="B85" s="786"/>
      <c r="C85" s="792"/>
      <c r="D85" s="786"/>
      <c r="E85" s="3307"/>
      <c r="F85" s="1507" t="s">
        <v>2887</v>
      </c>
      <c r="G85" s="686"/>
      <c r="H85" s="679"/>
      <c r="I85" s="679"/>
      <c r="J85" s="679"/>
      <c r="K85" s="679"/>
      <c r="L85" s="1508"/>
      <c r="M85" s="679"/>
      <c r="N85" s="687"/>
      <c r="O85" s="687"/>
      <c r="P85" s="681"/>
      <c r="Q85" s="653">
        <f>P85</f>
        <v>0</v>
      </c>
      <c r="R85" s="653">
        <v>400000</v>
      </c>
      <c r="S85" s="654">
        <f t="shared" si="44"/>
        <v>-400000</v>
      </c>
      <c r="T85" s="655">
        <f t="shared" si="45"/>
        <v>-1</v>
      </c>
    </row>
    <row r="86" spans="1:20" ht="14.45" customHeight="1">
      <c r="A86" s="778"/>
      <c r="B86" s="786"/>
      <c r="C86" s="792"/>
      <c r="D86" s="786"/>
      <c r="E86" s="3307"/>
      <c r="F86" s="1507" t="s">
        <v>2888</v>
      </c>
      <c r="G86" s="686"/>
      <c r="H86" s="679"/>
      <c r="I86" s="679"/>
      <c r="J86" s="679"/>
      <c r="K86" s="679"/>
      <c r="L86" s="1508"/>
      <c r="M86" s="679"/>
      <c r="N86" s="687"/>
      <c r="O86" s="687"/>
      <c r="P86" s="681"/>
      <c r="Q86" s="653">
        <f>P86</f>
        <v>0</v>
      </c>
      <c r="R86" s="653">
        <v>8000000</v>
      </c>
      <c r="S86" s="654">
        <f t="shared" si="44"/>
        <v>-8000000</v>
      </c>
      <c r="T86" s="655">
        <f t="shared" si="45"/>
        <v>-1</v>
      </c>
    </row>
    <row r="87" spans="1:20" s="1137" customFormat="1" ht="15" customHeight="1">
      <c r="A87" s="1166"/>
      <c r="B87" s="1139"/>
      <c r="C87" s="1168"/>
      <c r="D87" s="1139"/>
      <c r="E87" s="3637" t="s">
        <v>3009</v>
      </c>
      <c r="F87" s="3638"/>
      <c r="G87" s="3638"/>
      <c r="H87" s="3638"/>
      <c r="I87" s="3638"/>
      <c r="J87" s="3638"/>
      <c r="K87" s="3638"/>
      <c r="L87" s="3638"/>
      <c r="M87" s="3638"/>
      <c r="N87" s="3638"/>
      <c r="O87" s="3638"/>
      <c r="P87" s="3639"/>
      <c r="Q87" s="1154">
        <f>SUM(P88+P92+P98)</f>
        <v>7200000</v>
      </c>
      <c r="R87" s="1154">
        <v>0</v>
      </c>
      <c r="S87" s="1155">
        <f>Q87-R87</f>
        <v>7200000</v>
      </c>
      <c r="T87" s="1288"/>
    </row>
    <row r="88" spans="1:20" s="1137" customFormat="1" ht="15" customHeight="1">
      <c r="A88" s="1166"/>
      <c r="B88" s="1139"/>
      <c r="C88" s="1168"/>
      <c r="D88" s="1139"/>
      <c r="E88" s="3307"/>
      <c r="F88" s="1507" t="s">
        <v>1514</v>
      </c>
      <c r="G88" s="686"/>
      <c r="H88" s="679"/>
      <c r="I88" s="679"/>
      <c r="J88" s="679"/>
      <c r="K88" s="679"/>
      <c r="L88" s="1508"/>
      <c r="M88" s="679"/>
      <c r="N88" s="687"/>
      <c r="O88" s="687"/>
      <c r="P88" s="681">
        <f>SUM(P89:P91)</f>
        <v>3500000</v>
      </c>
      <c r="Q88" s="653">
        <f>P88</f>
        <v>3500000</v>
      </c>
      <c r="R88" s="653">
        <v>0</v>
      </c>
      <c r="S88" s="654">
        <f t="shared" ref="S88" si="46">Q88-R88</f>
        <v>3500000</v>
      </c>
      <c r="T88" s="655"/>
    </row>
    <row r="89" spans="1:20" s="1137" customFormat="1" ht="15" customHeight="1">
      <c r="A89" s="1166"/>
      <c r="B89" s="1139"/>
      <c r="C89" s="1168"/>
      <c r="D89" s="1139"/>
      <c r="E89" s="3307"/>
      <c r="F89" s="1511" t="s">
        <v>1515</v>
      </c>
      <c r="G89" s="702">
        <v>2500000</v>
      </c>
      <c r="H89" s="691" t="s">
        <v>21</v>
      </c>
      <c r="I89" s="878">
        <v>1</v>
      </c>
      <c r="J89" s="691"/>
      <c r="K89" s="877"/>
      <c r="L89" s="1512"/>
      <c r="M89" s="691"/>
      <c r="N89" s="701"/>
      <c r="O89" s="701" t="s">
        <v>22</v>
      </c>
      <c r="P89" s="882">
        <f>ROUNDUP(G89*I89,-3)</f>
        <v>2500000</v>
      </c>
      <c r="Q89" s="694"/>
      <c r="R89" s="694"/>
      <c r="S89" s="695"/>
      <c r="T89" s="696"/>
    </row>
    <row r="90" spans="1:20" s="1137" customFormat="1" ht="15" customHeight="1">
      <c r="A90" s="1166"/>
      <c r="B90" s="1139"/>
      <c r="C90" s="1168"/>
      <c r="D90" s="1139"/>
      <c r="E90" s="3307"/>
      <c r="F90" s="1511" t="s">
        <v>1516</v>
      </c>
      <c r="G90" s="702">
        <v>100000</v>
      </c>
      <c r="H90" s="691" t="s">
        <v>21</v>
      </c>
      <c r="I90" s="877">
        <v>3</v>
      </c>
      <c r="J90" s="691"/>
      <c r="K90" s="877"/>
      <c r="L90" s="1512"/>
      <c r="M90" s="691"/>
      <c r="N90" s="701"/>
      <c r="O90" s="701" t="s">
        <v>22</v>
      </c>
      <c r="P90" s="882">
        <f>ROUNDUP(G90*I90,-3)</f>
        <v>300000</v>
      </c>
      <c r="Q90" s="694"/>
      <c r="R90" s="694"/>
      <c r="S90" s="695"/>
      <c r="T90" s="696"/>
    </row>
    <row r="91" spans="1:20" s="1137" customFormat="1" ht="15" customHeight="1">
      <c r="A91" s="1166"/>
      <c r="B91" s="1139"/>
      <c r="C91" s="1168"/>
      <c r="D91" s="1139"/>
      <c r="E91" s="3307"/>
      <c r="F91" s="1511" t="s">
        <v>1517</v>
      </c>
      <c r="G91" s="702">
        <v>700000</v>
      </c>
      <c r="H91" s="691" t="s">
        <v>21</v>
      </c>
      <c r="I91" s="878">
        <v>1</v>
      </c>
      <c r="J91" s="691"/>
      <c r="K91" s="877"/>
      <c r="L91" s="1512"/>
      <c r="M91" s="691"/>
      <c r="N91" s="701"/>
      <c r="O91" s="701" t="s">
        <v>22</v>
      </c>
      <c r="P91" s="882">
        <f>ROUNDUP(G91*I91,-3)</f>
        <v>700000</v>
      </c>
      <c r="Q91" s="694"/>
      <c r="R91" s="694"/>
      <c r="S91" s="695"/>
      <c r="T91" s="696"/>
    </row>
    <row r="92" spans="1:20" s="1137" customFormat="1" ht="15" customHeight="1">
      <c r="A92" s="1166"/>
      <c r="B92" s="1139"/>
      <c r="C92" s="1168"/>
      <c r="D92" s="1139"/>
      <c r="E92" s="3307"/>
      <c r="F92" s="1507" t="s">
        <v>1518</v>
      </c>
      <c r="G92" s="686"/>
      <c r="H92" s="679"/>
      <c r="I92" s="679"/>
      <c r="J92" s="679"/>
      <c r="K92" s="679"/>
      <c r="L92" s="1508"/>
      <c r="M92" s="679"/>
      <c r="N92" s="687"/>
      <c r="O92" s="687"/>
      <c r="P92" s="681">
        <f>SUM(P93:P97)</f>
        <v>2500000</v>
      </c>
      <c r="Q92" s="653">
        <f>P92</f>
        <v>2500000</v>
      </c>
      <c r="R92" s="653">
        <v>0</v>
      </c>
      <c r="S92" s="654">
        <f t="shared" ref="S92" si="47">Q92-R92</f>
        <v>2500000</v>
      </c>
      <c r="T92" s="655"/>
    </row>
    <row r="93" spans="1:20" s="1137" customFormat="1" ht="15" customHeight="1">
      <c r="A93" s="1166"/>
      <c r="B93" s="1139"/>
      <c r="C93" s="1168"/>
      <c r="D93" s="1139"/>
      <c r="E93" s="3307"/>
      <c r="F93" s="1511" t="s">
        <v>1373</v>
      </c>
      <c r="G93" s="702">
        <v>50000</v>
      </c>
      <c r="H93" s="691" t="s">
        <v>21</v>
      </c>
      <c r="I93" s="877">
        <v>4</v>
      </c>
      <c r="J93" s="691"/>
      <c r="K93" s="877"/>
      <c r="L93" s="1512"/>
      <c r="M93" s="691"/>
      <c r="N93" s="701"/>
      <c r="O93" s="701" t="s">
        <v>22</v>
      </c>
      <c r="P93" s="882">
        <f>ROUNDUP(G93*I93,-3)</f>
        <v>200000</v>
      </c>
      <c r="Q93" s="694"/>
      <c r="R93" s="694"/>
      <c r="S93" s="695"/>
      <c r="T93" s="696"/>
    </row>
    <row r="94" spans="1:20" s="1137" customFormat="1" ht="15" customHeight="1">
      <c r="A94" s="1166"/>
      <c r="B94" s="1139"/>
      <c r="C94" s="1168"/>
      <c r="D94" s="1139"/>
      <c r="E94" s="3307"/>
      <c r="F94" s="1511" t="s">
        <v>1431</v>
      </c>
      <c r="G94" s="702">
        <v>150000</v>
      </c>
      <c r="H94" s="691" t="s">
        <v>21</v>
      </c>
      <c r="I94" s="877">
        <v>2</v>
      </c>
      <c r="J94" s="691"/>
      <c r="K94" s="877"/>
      <c r="L94" s="1512"/>
      <c r="M94" s="691"/>
      <c r="N94" s="701"/>
      <c r="O94" s="701" t="s">
        <v>22</v>
      </c>
      <c r="P94" s="882">
        <f>ROUNDUP(G94*I94,-3)</f>
        <v>300000</v>
      </c>
      <c r="Q94" s="694"/>
      <c r="R94" s="694"/>
      <c r="S94" s="695"/>
      <c r="T94" s="696"/>
    </row>
    <row r="95" spans="1:20" s="1137" customFormat="1" ht="15" customHeight="1">
      <c r="A95" s="1166"/>
      <c r="B95" s="1139"/>
      <c r="C95" s="1168"/>
      <c r="D95" s="1139"/>
      <c r="E95" s="3307"/>
      <c r="F95" s="1511" t="s">
        <v>1276</v>
      </c>
      <c r="G95" s="702">
        <v>600000</v>
      </c>
      <c r="H95" s="691" t="s">
        <v>21</v>
      </c>
      <c r="I95" s="877">
        <v>1</v>
      </c>
      <c r="J95" s="691"/>
      <c r="K95" s="877"/>
      <c r="L95" s="1512"/>
      <c r="M95" s="691"/>
      <c r="N95" s="701"/>
      <c r="O95" s="701" t="s">
        <v>22</v>
      </c>
      <c r="P95" s="882">
        <f>ROUNDUP(G95*I95,-3)</f>
        <v>600000</v>
      </c>
      <c r="Q95" s="694"/>
      <c r="R95" s="694"/>
      <c r="S95" s="695"/>
      <c r="T95" s="696"/>
    </row>
    <row r="96" spans="1:20" s="1137" customFormat="1" ht="15" customHeight="1">
      <c r="A96" s="1166"/>
      <c r="B96" s="1139"/>
      <c r="C96" s="1168"/>
      <c r="D96" s="1139"/>
      <c r="E96" s="3307"/>
      <c r="F96" s="1511" t="s">
        <v>1379</v>
      </c>
      <c r="G96" s="702">
        <v>1000000</v>
      </c>
      <c r="H96" s="691" t="s">
        <v>21</v>
      </c>
      <c r="I96" s="877">
        <v>1</v>
      </c>
      <c r="J96" s="691"/>
      <c r="K96" s="877"/>
      <c r="L96" s="1512"/>
      <c r="M96" s="691"/>
      <c r="N96" s="701"/>
      <c r="O96" s="701" t="s">
        <v>22</v>
      </c>
      <c r="P96" s="882">
        <f>ROUNDUP(G96*I96,-3)</f>
        <v>1000000</v>
      </c>
      <c r="Q96" s="694"/>
      <c r="R96" s="694"/>
      <c r="S96" s="695"/>
      <c r="T96" s="696"/>
    </row>
    <row r="97" spans="1:23" s="1137" customFormat="1" ht="15" customHeight="1">
      <c r="A97" s="1166"/>
      <c r="B97" s="1139"/>
      <c r="C97" s="1168"/>
      <c r="D97" s="1139"/>
      <c r="E97" s="3307"/>
      <c r="F97" s="1511" t="s">
        <v>1197</v>
      </c>
      <c r="G97" s="702">
        <v>200000</v>
      </c>
      <c r="H97" s="691" t="s">
        <v>21</v>
      </c>
      <c r="I97" s="877">
        <v>2</v>
      </c>
      <c r="J97" s="691"/>
      <c r="K97" s="877"/>
      <c r="L97" s="1512"/>
      <c r="M97" s="691"/>
      <c r="N97" s="701"/>
      <c r="O97" s="701" t="s">
        <v>22</v>
      </c>
      <c r="P97" s="882">
        <f>ROUNDUP(G97*I97,-3)</f>
        <v>400000</v>
      </c>
      <c r="Q97" s="694"/>
      <c r="R97" s="694"/>
      <c r="S97" s="695"/>
      <c r="T97" s="696"/>
    </row>
    <row r="98" spans="1:23" s="1137" customFormat="1" ht="15" customHeight="1">
      <c r="A98" s="1166"/>
      <c r="B98" s="1139"/>
      <c r="C98" s="1168"/>
      <c r="D98" s="1139"/>
      <c r="E98" s="3307"/>
      <c r="F98" s="1507" t="s">
        <v>1519</v>
      </c>
      <c r="G98" s="686"/>
      <c r="H98" s="679"/>
      <c r="I98" s="679"/>
      <c r="J98" s="679"/>
      <c r="K98" s="679"/>
      <c r="L98" s="1508"/>
      <c r="M98" s="679"/>
      <c r="N98" s="687"/>
      <c r="O98" s="687"/>
      <c r="P98" s="681">
        <f>SUM(P99:P101)</f>
        <v>1200000</v>
      </c>
      <c r="Q98" s="653">
        <f>P98</f>
        <v>1200000</v>
      </c>
      <c r="R98" s="653">
        <v>0</v>
      </c>
      <c r="S98" s="654">
        <f t="shared" ref="S98" si="48">Q98-R98</f>
        <v>1200000</v>
      </c>
      <c r="T98" s="655"/>
    </row>
    <row r="99" spans="1:23" s="1137" customFormat="1" ht="15" customHeight="1">
      <c r="A99" s="1166"/>
      <c r="B99" s="1139"/>
      <c r="C99" s="1168"/>
      <c r="D99" s="1139"/>
      <c r="E99" s="3307"/>
      <c r="F99" s="1511" t="s">
        <v>1520</v>
      </c>
      <c r="G99" s="702">
        <v>300000</v>
      </c>
      <c r="H99" s="691" t="s">
        <v>21</v>
      </c>
      <c r="I99" s="877">
        <v>2</v>
      </c>
      <c r="J99" s="691"/>
      <c r="K99" s="877"/>
      <c r="L99" s="1512"/>
      <c r="M99" s="691"/>
      <c r="N99" s="701"/>
      <c r="O99" s="701" t="s">
        <v>22</v>
      </c>
      <c r="P99" s="882">
        <f>ROUNDUP(G99*I99,-3)</f>
        <v>600000</v>
      </c>
      <c r="Q99" s="694"/>
      <c r="R99" s="694"/>
      <c r="S99" s="695"/>
      <c r="T99" s="696"/>
      <c r="W99" s="1137">
        <v>221064000</v>
      </c>
    </row>
    <row r="100" spans="1:23" s="1137" customFormat="1" ht="15" customHeight="1">
      <c r="A100" s="1166"/>
      <c r="B100" s="1139"/>
      <c r="C100" s="1168"/>
      <c r="D100" s="1139"/>
      <c r="E100" s="3307"/>
      <c r="F100" s="1511" t="s">
        <v>1521</v>
      </c>
      <c r="G100" s="702">
        <v>100000</v>
      </c>
      <c r="H100" s="691" t="s">
        <v>21</v>
      </c>
      <c r="I100" s="877">
        <v>3</v>
      </c>
      <c r="J100" s="691"/>
      <c r="K100" s="877"/>
      <c r="L100" s="1512"/>
      <c r="M100" s="691"/>
      <c r="N100" s="701"/>
      <c r="O100" s="701" t="s">
        <v>22</v>
      </c>
      <c r="P100" s="882">
        <f>ROUNDUP(G100*I100,-3)</f>
        <v>300000</v>
      </c>
      <c r="Q100" s="694"/>
      <c r="R100" s="694"/>
      <c r="S100" s="695"/>
      <c r="T100" s="696"/>
    </row>
    <row r="101" spans="1:23" s="1137" customFormat="1" ht="15" customHeight="1">
      <c r="A101" s="1166"/>
      <c r="B101" s="1139"/>
      <c r="C101" s="1168"/>
      <c r="D101" s="1139"/>
      <c r="E101" s="3307"/>
      <c r="F101" s="1511" t="s">
        <v>1495</v>
      </c>
      <c r="G101" s="702">
        <v>300000</v>
      </c>
      <c r="H101" s="691" t="s">
        <v>21</v>
      </c>
      <c r="I101" s="877">
        <v>1</v>
      </c>
      <c r="J101" s="691"/>
      <c r="K101" s="877"/>
      <c r="L101" s="1512"/>
      <c r="M101" s="691"/>
      <c r="N101" s="701"/>
      <c r="O101" s="701" t="s">
        <v>22</v>
      </c>
      <c r="P101" s="882">
        <f>ROUNDUP(G101*I101,-3)</f>
        <v>300000</v>
      </c>
      <c r="Q101" s="694"/>
      <c r="R101" s="694"/>
      <c r="S101" s="695"/>
      <c r="T101" s="696"/>
    </row>
    <row r="102" spans="1:23" ht="14.45" customHeight="1">
      <c r="A102" s="778"/>
      <c r="B102" s="786"/>
      <c r="C102" s="3685" t="s">
        <v>207</v>
      </c>
      <c r="D102" s="3686"/>
      <c r="E102" s="3686"/>
      <c r="F102" s="3686"/>
      <c r="G102" s="3686"/>
      <c r="H102" s="3686"/>
      <c r="I102" s="3686"/>
      <c r="J102" s="3686"/>
      <c r="K102" s="3686"/>
      <c r="L102" s="3686"/>
      <c r="M102" s="3686"/>
      <c r="N102" s="3686"/>
      <c r="O102" s="3686"/>
      <c r="P102" s="3687"/>
      <c r="Q102" s="872">
        <f>SUM(Q103+Q161+Q166)</f>
        <v>127400000</v>
      </c>
      <c r="R102" s="872">
        <f>SUM(R103+R161+R166)</f>
        <v>119360000</v>
      </c>
      <c r="S102" s="867">
        <f>Q102-R102</f>
        <v>8040000</v>
      </c>
      <c r="T102" s="868">
        <f t="shared" ref="T102:T105" si="49">S102/R102</f>
        <v>6.7359249329758716E-2</v>
      </c>
      <c r="W102" s="1120"/>
    </row>
    <row r="103" spans="1:23" ht="14.45" customHeight="1">
      <c r="A103" s="778"/>
      <c r="B103" s="786"/>
      <c r="C103" s="792"/>
      <c r="D103" s="1144" t="s">
        <v>54</v>
      </c>
      <c r="E103" s="3296"/>
      <c r="F103" s="1373"/>
      <c r="G103" s="1146"/>
      <c r="H103" s="1145"/>
      <c r="I103" s="1145"/>
      <c r="J103" s="1145"/>
      <c r="K103" s="1145"/>
      <c r="L103" s="1374"/>
      <c r="M103" s="1145"/>
      <c r="N103" s="1147"/>
      <c r="O103" s="1147"/>
      <c r="P103" s="1145"/>
      <c r="Q103" s="1148">
        <f>Q104+Q112+Q116+Q117+Q121+Q125+Q134+Q138+Q142+Q145+Q150+Q155</f>
        <v>30496000</v>
      </c>
      <c r="R103" s="1148">
        <f>R104+R112+R116+R117+R121+R125+R134+R138+R142+R145+R150+R155</f>
        <v>34760000</v>
      </c>
      <c r="S103" s="1149">
        <f>Q103-R103</f>
        <v>-4264000</v>
      </c>
      <c r="T103" s="2269">
        <f>S103/R103</f>
        <v>-0.12266973532796317</v>
      </c>
    </row>
    <row r="104" spans="1:23" ht="14.45" customHeight="1">
      <c r="A104" s="778"/>
      <c r="B104" s="786"/>
      <c r="C104" s="792"/>
      <c r="D104" s="786"/>
      <c r="E104" s="3637" t="s">
        <v>55</v>
      </c>
      <c r="F104" s="3638"/>
      <c r="G104" s="3638"/>
      <c r="H104" s="3638"/>
      <c r="I104" s="3638"/>
      <c r="J104" s="3638"/>
      <c r="K104" s="3638"/>
      <c r="L104" s="3638"/>
      <c r="M104" s="3638"/>
      <c r="N104" s="3638"/>
      <c r="O104" s="3638"/>
      <c r="P104" s="3639"/>
      <c r="Q104" s="645">
        <f>P105+P110</f>
        <v>7904000</v>
      </c>
      <c r="R104" s="645">
        <v>9368000</v>
      </c>
      <c r="S104" s="646">
        <f>Q104-R104</f>
        <v>-1464000</v>
      </c>
      <c r="T104" s="647">
        <f t="shared" si="49"/>
        <v>-0.15627668659265584</v>
      </c>
    </row>
    <row r="105" spans="1:23" ht="14.45" customHeight="1">
      <c r="A105" s="778"/>
      <c r="B105" s="786"/>
      <c r="C105" s="792"/>
      <c r="D105" s="786"/>
      <c r="E105" s="1143"/>
      <c r="F105" s="1507" t="s">
        <v>1433</v>
      </c>
      <c r="G105" s="686"/>
      <c r="H105" s="679"/>
      <c r="I105" s="679"/>
      <c r="J105" s="679"/>
      <c r="K105" s="679"/>
      <c r="L105" s="1508"/>
      <c r="M105" s="679"/>
      <c r="N105" s="687"/>
      <c r="O105" s="687"/>
      <c r="P105" s="681">
        <f>P106+P107</f>
        <v>5600000</v>
      </c>
      <c r="Q105" s="653">
        <f>P105</f>
        <v>5600000</v>
      </c>
      <c r="R105" s="653">
        <v>6200000</v>
      </c>
      <c r="S105" s="654">
        <f t="shared" ref="S105" si="50">Q105-R105</f>
        <v>-600000</v>
      </c>
      <c r="T105" s="655">
        <f t="shared" si="49"/>
        <v>-9.6774193548387094E-2</v>
      </c>
    </row>
    <row r="106" spans="1:23" ht="14.45" customHeight="1">
      <c r="A106" s="778"/>
      <c r="B106" s="786"/>
      <c r="C106" s="792"/>
      <c r="D106" s="786"/>
      <c r="E106" s="3306"/>
      <c r="F106" s="2275" t="s">
        <v>1434</v>
      </c>
      <c r="G106" s="2283">
        <v>400000</v>
      </c>
      <c r="H106" s="2284" t="s">
        <v>862</v>
      </c>
      <c r="I106" s="2292">
        <v>2</v>
      </c>
      <c r="J106" s="2284"/>
      <c r="K106" s="2286"/>
      <c r="L106" s="2287"/>
      <c r="M106" s="2286"/>
      <c r="N106" s="2288"/>
      <c r="O106" s="2288" t="s">
        <v>985</v>
      </c>
      <c r="P106" s="2289">
        <f>ROUNDUP(G106*I106,-3)</f>
        <v>800000</v>
      </c>
      <c r="Q106" s="694"/>
      <c r="R106" s="694"/>
      <c r="S106" s="695"/>
      <c r="T106" s="696"/>
    </row>
    <row r="107" spans="1:23" ht="14.45" customHeight="1">
      <c r="A107" s="778"/>
      <c r="B107" s="786"/>
      <c r="C107" s="792"/>
      <c r="D107" s="786"/>
      <c r="E107" s="3307"/>
      <c r="F107" s="2275" t="s">
        <v>1435</v>
      </c>
      <c r="G107" s="2283"/>
      <c r="H107" s="2284"/>
      <c r="I107" s="2292"/>
      <c r="J107" s="2284"/>
      <c r="K107" s="2286"/>
      <c r="L107" s="2287"/>
      <c r="M107" s="2286"/>
      <c r="N107" s="2288"/>
      <c r="O107" s="2288"/>
      <c r="P107" s="2293">
        <f>SUM(P108:P109)</f>
        <v>4800000</v>
      </c>
      <c r="Q107" s="694"/>
      <c r="R107" s="694"/>
      <c r="S107" s="695"/>
      <c r="T107" s="696"/>
    </row>
    <row r="108" spans="1:23" ht="14.45" customHeight="1">
      <c r="A108" s="778"/>
      <c r="B108" s="786"/>
      <c r="C108" s="792"/>
      <c r="D108" s="786"/>
      <c r="E108" s="3307"/>
      <c r="F108" s="2275" t="s">
        <v>2129</v>
      </c>
      <c r="G108" s="2283">
        <v>1000000</v>
      </c>
      <c r="H108" s="2284" t="s">
        <v>125</v>
      </c>
      <c r="I108" s="2292">
        <v>4</v>
      </c>
      <c r="J108" s="2284"/>
      <c r="K108" s="2286"/>
      <c r="L108" s="2287"/>
      <c r="M108" s="2286"/>
      <c r="N108" s="2288"/>
      <c r="O108" s="2288" t="s">
        <v>122</v>
      </c>
      <c r="P108" s="2289">
        <f>ROUNDUP(G108*I108,-3)</f>
        <v>4000000</v>
      </c>
      <c r="Q108" s="694"/>
      <c r="R108" s="694"/>
      <c r="S108" s="695"/>
      <c r="T108" s="696"/>
      <c r="W108" s="1312"/>
    </row>
    <row r="109" spans="1:23" ht="14.45" customHeight="1">
      <c r="A109" s="778"/>
      <c r="B109" s="786"/>
      <c r="C109" s="792"/>
      <c r="D109" s="786"/>
      <c r="E109" s="3307"/>
      <c r="F109" s="2275" t="s">
        <v>2130</v>
      </c>
      <c r="G109" s="2283">
        <v>400000</v>
      </c>
      <c r="H109" s="2284" t="s">
        <v>125</v>
      </c>
      <c r="I109" s="2292">
        <v>2</v>
      </c>
      <c r="J109" s="2284"/>
      <c r="K109" s="2286"/>
      <c r="L109" s="2287"/>
      <c r="M109" s="2286"/>
      <c r="N109" s="2288"/>
      <c r="O109" s="2288" t="s">
        <v>122</v>
      </c>
      <c r="P109" s="2289">
        <f>ROUNDUP(G109*I109,-3)</f>
        <v>800000</v>
      </c>
      <c r="Q109" s="694"/>
      <c r="R109" s="694"/>
      <c r="S109" s="695"/>
      <c r="T109" s="696"/>
    </row>
    <row r="110" spans="1:23" ht="14.45" customHeight="1">
      <c r="A110" s="778"/>
      <c r="B110" s="786"/>
      <c r="C110" s="792"/>
      <c r="D110" s="786"/>
      <c r="E110" s="3307"/>
      <c r="F110" s="1507" t="s">
        <v>1436</v>
      </c>
      <c r="G110" s="686"/>
      <c r="H110" s="679"/>
      <c r="I110" s="679"/>
      <c r="J110" s="679"/>
      <c r="K110" s="679"/>
      <c r="L110" s="1508"/>
      <c r="M110" s="679"/>
      <c r="N110" s="687"/>
      <c r="O110" s="687"/>
      <c r="P110" s="681">
        <f>SUM(P111:P111)</f>
        <v>2304000</v>
      </c>
      <c r="Q110" s="653">
        <f>P110</f>
        <v>2304000</v>
      </c>
      <c r="R110" s="653">
        <v>3168000</v>
      </c>
      <c r="S110" s="654">
        <f t="shared" ref="S110" si="51">Q110-R110</f>
        <v>-864000</v>
      </c>
      <c r="T110" s="655">
        <f t="shared" ref="T110" si="52">S110/R110</f>
        <v>-0.27272727272727271</v>
      </c>
    </row>
    <row r="111" spans="1:23" ht="14.45" customHeight="1">
      <c r="A111" s="778"/>
      <c r="B111" s="786"/>
      <c r="C111" s="792"/>
      <c r="D111" s="786"/>
      <c r="E111" s="3307"/>
      <c r="F111" s="2275" t="s">
        <v>317</v>
      </c>
      <c r="G111" s="722">
        <v>8000</v>
      </c>
      <c r="H111" s="2277" t="s">
        <v>862</v>
      </c>
      <c r="I111" s="2294">
        <v>3</v>
      </c>
      <c r="J111" s="2277" t="s">
        <v>21</v>
      </c>
      <c r="K111" s="2295">
        <v>8</v>
      </c>
      <c r="L111" s="2277" t="s">
        <v>21</v>
      </c>
      <c r="M111" s="2278">
        <v>12</v>
      </c>
      <c r="N111" s="2280"/>
      <c r="O111" s="2280" t="s">
        <v>985</v>
      </c>
      <c r="P111" s="2281">
        <f>G111*I111*K111*M111</f>
        <v>2304000</v>
      </c>
      <c r="Q111" s="666"/>
      <c r="R111" s="666"/>
      <c r="S111" s="667"/>
      <c r="T111" s="668"/>
      <c r="V111" s="128">
        <v>2304000</v>
      </c>
    </row>
    <row r="112" spans="1:23" ht="14.45" customHeight="1">
      <c r="A112" s="778"/>
      <c r="B112" s="786"/>
      <c r="C112" s="792"/>
      <c r="D112" s="786"/>
      <c r="E112" s="3637" t="s">
        <v>3100</v>
      </c>
      <c r="F112" s="3638"/>
      <c r="G112" s="3638"/>
      <c r="H112" s="3638"/>
      <c r="I112" s="3638"/>
      <c r="J112" s="3638"/>
      <c r="K112" s="3638" t="s">
        <v>2981</v>
      </c>
      <c r="L112" s="3638"/>
      <c r="M112" s="3638"/>
      <c r="N112" s="3638"/>
      <c r="O112" s="3638"/>
      <c r="P112" s="3639"/>
      <c r="Q112" s="645">
        <f>P113</f>
        <v>5800000</v>
      </c>
      <c r="R112" s="645">
        <v>4600000</v>
      </c>
      <c r="S112" s="646">
        <f>Q112-R112</f>
        <v>1200000</v>
      </c>
      <c r="T112" s="647">
        <f t="shared" ref="T112:T113" si="53">S112/R112</f>
        <v>0.2608695652173913</v>
      </c>
      <c r="V112" s="128">
        <f>V111/8000/8/12</f>
        <v>3</v>
      </c>
    </row>
    <row r="113" spans="1:22" ht="14.45" customHeight="1">
      <c r="A113" s="778"/>
      <c r="B113" s="786"/>
      <c r="C113" s="792"/>
      <c r="D113" s="786"/>
      <c r="F113" s="1507" t="s">
        <v>1437</v>
      </c>
      <c r="G113" s="686"/>
      <c r="H113" s="679"/>
      <c r="I113" s="679"/>
      <c r="J113" s="679"/>
      <c r="K113" s="679"/>
      <c r="L113" s="1508"/>
      <c r="M113" s="679"/>
      <c r="N113" s="687"/>
      <c r="O113" s="687"/>
      <c r="P113" s="681">
        <f>SUM(P114:P115)</f>
        <v>5800000</v>
      </c>
      <c r="Q113" s="653">
        <f>P113</f>
        <v>5800000</v>
      </c>
      <c r="R113" s="653">
        <v>4600000</v>
      </c>
      <c r="S113" s="654">
        <f t="shared" ref="S113" si="54">Q113-R113</f>
        <v>1200000</v>
      </c>
      <c r="T113" s="655">
        <f t="shared" si="53"/>
        <v>0.2608695652173913</v>
      </c>
    </row>
    <row r="114" spans="1:22" ht="14.45" customHeight="1">
      <c r="A114" s="1130"/>
      <c r="B114" s="846"/>
      <c r="C114" s="780"/>
      <c r="D114" s="846"/>
      <c r="E114" s="3317"/>
      <c r="F114" s="2315" t="s">
        <v>1438</v>
      </c>
      <c r="G114" s="2297">
        <v>100000</v>
      </c>
      <c r="H114" s="2298" t="s">
        <v>912</v>
      </c>
      <c r="I114" s="2299">
        <v>4</v>
      </c>
      <c r="J114" s="2298" t="s">
        <v>21</v>
      </c>
      <c r="K114" s="2302">
        <v>12</v>
      </c>
      <c r="L114" s="2301"/>
      <c r="M114" s="2302"/>
      <c r="N114" s="2303"/>
      <c r="O114" s="2303" t="s">
        <v>913</v>
      </c>
      <c r="P114" s="2304">
        <f>G114*I114*K114</f>
        <v>4800000</v>
      </c>
      <c r="Q114" s="712"/>
      <c r="R114" s="712"/>
      <c r="S114" s="713"/>
      <c r="T114" s="714"/>
    </row>
    <row r="115" spans="1:22" ht="14.45" customHeight="1">
      <c r="A115" s="778"/>
      <c r="B115" s="786"/>
      <c r="C115" s="792"/>
      <c r="D115" s="786"/>
      <c r="E115" s="3360"/>
      <c r="F115" s="2296" t="s">
        <v>1439</v>
      </c>
      <c r="G115" s="2297">
        <v>500000</v>
      </c>
      <c r="H115" s="2298" t="s">
        <v>817</v>
      </c>
      <c r="I115" s="2299">
        <v>2</v>
      </c>
      <c r="J115" s="2298"/>
      <c r="K115" s="2300"/>
      <c r="L115" s="2301"/>
      <c r="M115" s="2302"/>
      <c r="N115" s="2303"/>
      <c r="O115" s="2303" t="s">
        <v>913</v>
      </c>
      <c r="P115" s="2304">
        <f>G115*I115</f>
        <v>1000000</v>
      </c>
      <c r="Q115" s="694"/>
      <c r="R115" s="694"/>
      <c r="S115" s="695"/>
      <c r="T115" s="696"/>
      <c r="V115" s="128">
        <v>214777000</v>
      </c>
    </row>
    <row r="116" spans="1:22" ht="14.45" customHeight="1">
      <c r="A116" s="778"/>
      <c r="B116" s="786"/>
      <c r="C116" s="792"/>
      <c r="D116" s="786"/>
      <c r="E116" s="3637" t="s">
        <v>3099</v>
      </c>
      <c r="F116" s="3638"/>
      <c r="G116" s="3638"/>
      <c r="H116" s="3638"/>
      <c r="I116" s="3638"/>
      <c r="J116" s="3638"/>
      <c r="K116" s="3638"/>
      <c r="L116" s="3638"/>
      <c r="M116" s="3638"/>
      <c r="N116" s="3638"/>
      <c r="O116" s="3638"/>
      <c r="P116" s="3639"/>
      <c r="Q116" s="645">
        <v>0</v>
      </c>
      <c r="R116" s="645">
        <v>400000</v>
      </c>
      <c r="S116" s="646">
        <f>Q116-R116</f>
        <v>-400000</v>
      </c>
      <c r="T116" s="647">
        <f t="shared" ref="T116" si="55">S116/R116</f>
        <v>-1</v>
      </c>
    </row>
    <row r="117" spans="1:22" ht="14.45" customHeight="1">
      <c r="A117" s="778"/>
      <c r="B117" s="786"/>
      <c r="C117" s="792"/>
      <c r="D117" s="786"/>
      <c r="E117" s="3637" t="s">
        <v>191</v>
      </c>
      <c r="F117" s="3638"/>
      <c r="G117" s="3638"/>
      <c r="H117" s="3638"/>
      <c r="I117" s="3638"/>
      <c r="J117" s="3638"/>
      <c r="K117" s="3638"/>
      <c r="L117" s="3638"/>
      <c r="M117" s="3638"/>
      <c r="N117" s="3638"/>
      <c r="O117" s="3638"/>
      <c r="P117" s="3639"/>
      <c r="Q117" s="645">
        <f>P118</f>
        <v>2560000</v>
      </c>
      <c r="R117" s="645">
        <v>2560000</v>
      </c>
      <c r="S117" s="646">
        <f>Q117-R117</f>
        <v>0</v>
      </c>
      <c r="T117" s="647">
        <f t="shared" ref="T117:T118" si="56">S117/R117</f>
        <v>0</v>
      </c>
    </row>
    <row r="118" spans="1:22" ht="14.45" customHeight="1">
      <c r="A118" s="778"/>
      <c r="B118" s="786"/>
      <c r="C118" s="792"/>
      <c r="D118" s="786"/>
      <c r="F118" s="1507" t="s">
        <v>1440</v>
      </c>
      <c r="G118" s="686"/>
      <c r="H118" s="679"/>
      <c r="I118" s="679"/>
      <c r="J118" s="679"/>
      <c r="K118" s="679"/>
      <c r="L118" s="1508"/>
      <c r="M118" s="679"/>
      <c r="N118" s="687"/>
      <c r="O118" s="687"/>
      <c r="P118" s="681">
        <f>SUM(P119:P120)</f>
        <v>2560000</v>
      </c>
      <c r="Q118" s="653">
        <f>P118</f>
        <v>2560000</v>
      </c>
      <c r="R118" s="653"/>
      <c r="S118" s="654">
        <f t="shared" ref="S118" si="57">Q118-R118</f>
        <v>2560000</v>
      </c>
      <c r="T118" s="655" t="e">
        <f t="shared" si="56"/>
        <v>#DIV/0!</v>
      </c>
      <c r="V118" s="1120">
        <f>Q5-V115</f>
        <v>0</v>
      </c>
    </row>
    <row r="119" spans="1:22" ht="14.45" customHeight="1">
      <c r="A119" s="778"/>
      <c r="B119" s="786"/>
      <c r="C119" s="792"/>
      <c r="D119" s="786"/>
      <c r="E119" s="3282"/>
      <c r="F119" s="2275" t="s">
        <v>1441</v>
      </c>
      <c r="G119" s="2276">
        <v>60000</v>
      </c>
      <c r="H119" s="2277" t="s">
        <v>51</v>
      </c>
      <c r="I119" s="2278">
        <v>6</v>
      </c>
      <c r="J119" s="2277"/>
      <c r="K119" s="2278"/>
      <c r="L119" s="2279"/>
      <c r="M119" s="2278"/>
      <c r="N119" s="2280"/>
      <c r="O119" s="2280" t="s">
        <v>913</v>
      </c>
      <c r="P119" s="2281">
        <f>ROUNDUP(G119*I119,-3)</f>
        <v>360000</v>
      </c>
      <c r="Q119" s="694"/>
      <c r="R119" s="694"/>
      <c r="S119" s="695"/>
      <c r="T119" s="696"/>
    </row>
    <row r="120" spans="1:22" ht="14.45" customHeight="1">
      <c r="A120" s="778"/>
      <c r="B120" s="786"/>
      <c r="C120" s="792"/>
      <c r="D120" s="786"/>
      <c r="E120" s="3283"/>
      <c r="F120" s="2282" t="s">
        <v>1442</v>
      </c>
      <c r="G120" s="2305">
        <v>2200000</v>
      </c>
      <c r="H120" s="2277" t="s">
        <v>912</v>
      </c>
      <c r="I120" s="2306">
        <v>1</v>
      </c>
      <c r="J120" s="2277"/>
      <c r="K120" s="2278"/>
      <c r="L120" s="2279"/>
      <c r="M120" s="2278"/>
      <c r="N120" s="2280"/>
      <c r="O120" s="2280" t="s">
        <v>913</v>
      </c>
      <c r="P120" s="2281">
        <f>ROUNDUP(G120*I120,-3)</f>
        <v>2200000</v>
      </c>
      <c r="Q120" s="694"/>
      <c r="R120" s="694"/>
      <c r="S120" s="695"/>
      <c r="T120" s="696"/>
    </row>
    <row r="121" spans="1:22" ht="14.45" customHeight="1">
      <c r="A121" s="778"/>
      <c r="B121" s="786"/>
      <c r="C121" s="792"/>
      <c r="D121" s="786"/>
      <c r="E121" s="3637" t="s">
        <v>193</v>
      </c>
      <c r="F121" s="3638"/>
      <c r="G121" s="3638"/>
      <c r="H121" s="3638"/>
      <c r="I121" s="3638"/>
      <c r="J121" s="3638"/>
      <c r="K121" s="3638"/>
      <c r="L121" s="3638"/>
      <c r="M121" s="3638"/>
      <c r="N121" s="3638"/>
      <c r="O121" s="3638"/>
      <c r="P121" s="3639"/>
      <c r="Q121" s="645">
        <f>P122</f>
        <v>1680000</v>
      </c>
      <c r="R121" s="645">
        <v>1680000</v>
      </c>
      <c r="S121" s="646">
        <f>Q121-R121</f>
        <v>0</v>
      </c>
      <c r="T121" s="647">
        <f t="shared" ref="T121:T122" si="58">S121/R121</f>
        <v>0</v>
      </c>
    </row>
    <row r="122" spans="1:22" ht="14.45" customHeight="1">
      <c r="A122" s="778"/>
      <c r="B122" s="786"/>
      <c r="C122" s="792"/>
      <c r="D122" s="786"/>
      <c r="F122" s="1507" t="s">
        <v>1443</v>
      </c>
      <c r="G122" s="686"/>
      <c r="H122" s="679"/>
      <c r="I122" s="679"/>
      <c r="J122" s="679"/>
      <c r="K122" s="679"/>
      <c r="L122" s="1508"/>
      <c r="M122" s="679"/>
      <c r="N122" s="687"/>
      <c r="O122" s="687"/>
      <c r="P122" s="681">
        <f>SUM(P123:P124)</f>
        <v>1680000</v>
      </c>
      <c r="Q122" s="653">
        <f>P122</f>
        <v>1680000</v>
      </c>
      <c r="R122" s="653">
        <v>1680000</v>
      </c>
      <c r="S122" s="654">
        <f t="shared" ref="S122" si="59">Q122-R122</f>
        <v>0</v>
      </c>
      <c r="T122" s="655">
        <f t="shared" si="58"/>
        <v>0</v>
      </c>
    </row>
    <row r="123" spans="1:22" ht="14.45" customHeight="1">
      <c r="A123" s="778"/>
      <c r="B123" s="786"/>
      <c r="C123" s="792"/>
      <c r="D123" s="786"/>
      <c r="E123" s="3282"/>
      <c r="F123" s="2275" t="s">
        <v>1444</v>
      </c>
      <c r="G123" s="2283">
        <v>100000</v>
      </c>
      <c r="H123" s="2284" t="s">
        <v>51</v>
      </c>
      <c r="I123" s="2286">
        <v>12</v>
      </c>
      <c r="J123" s="2284"/>
      <c r="K123" s="2286"/>
      <c r="L123" s="2287"/>
      <c r="M123" s="2286"/>
      <c r="N123" s="2288"/>
      <c r="O123" s="2288" t="s">
        <v>32</v>
      </c>
      <c r="P123" s="2281">
        <f>ROUNDUP(G123*I123,-3)</f>
        <v>1200000</v>
      </c>
      <c r="Q123" s="694"/>
      <c r="R123" s="694"/>
      <c r="S123" s="695"/>
      <c r="T123" s="696"/>
    </row>
    <row r="124" spans="1:22" ht="14.45" customHeight="1">
      <c r="A124" s="778"/>
      <c r="B124" s="786"/>
      <c r="C124" s="792"/>
      <c r="D124" s="786"/>
      <c r="E124" s="3283"/>
      <c r="F124" s="2282" t="s">
        <v>1445</v>
      </c>
      <c r="G124" s="2290">
        <v>40000</v>
      </c>
      <c r="H124" s="2284" t="s">
        <v>1446</v>
      </c>
      <c r="I124" s="2286">
        <v>12</v>
      </c>
      <c r="J124" s="2284"/>
      <c r="K124" s="2286"/>
      <c r="L124" s="2287"/>
      <c r="M124" s="2286"/>
      <c r="N124" s="2288"/>
      <c r="O124" s="2288" t="s">
        <v>32</v>
      </c>
      <c r="P124" s="2281">
        <f>ROUNDUP(G124*I124,-3)</f>
        <v>480000</v>
      </c>
      <c r="Q124" s="694"/>
      <c r="R124" s="694"/>
      <c r="S124" s="695"/>
      <c r="T124" s="696"/>
    </row>
    <row r="125" spans="1:22" ht="14.45" customHeight="1">
      <c r="A125" s="778"/>
      <c r="B125" s="786"/>
      <c r="C125" s="792"/>
      <c r="D125" s="786"/>
      <c r="E125" s="3637" t="s">
        <v>3056</v>
      </c>
      <c r="F125" s="3638"/>
      <c r="G125" s="3638"/>
      <c r="H125" s="3638"/>
      <c r="I125" s="3638"/>
      <c r="J125" s="3638"/>
      <c r="K125" s="3638"/>
      <c r="L125" s="3638"/>
      <c r="M125" s="3638"/>
      <c r="N125" s="3638"/>
      <c r="O125" s="3638"/>
      <c r="P125" s="3639"/>
      <c r="Q125" s="645">
        <f>P126</f>
        <v>5280000</v>
      </c>
      <c r="R125" s="645">
        <v>5280000</v>
      </c>
      <c r="S125" s="646">
        <f>Q125-R125</f>
        <v>0</v>
      </c>
      <c r="T125" s="647">
        <f t="shared" ref="T125:T126" si="60">S125/R125</f>
        <v>0</v>
      </c>
    </row>
    <row r="126" spans="1:22" ht="14.45" customHeight="1">
      <c r="A126" s="778"/>
      <c r="B126" s="786"/>
      <c r="C126" s="792"/>
      <c r="D126" s="786"/>
      <c r="F126" s="1507" t="s">
        <v>1447</v>
      </c>
      <c r="G126" s="686"/>
      <c r="H126" s="679"/>
      <c r="I126" s="679"/>
      <c r="J126" s="679"/>
      <c r="K126" s="679"/>
      <c r="L126" s="1508"/>
      <c r="M126" s="679"/>
      <c r="N126" s="687"/>
      <c r="O126" s="687"/>
      <c r="P126" s="681">
        <f>SUM(P127:P133)</f>
        <v>5280000</v>
      </c>
      <c r="Q126" s="653">
        <f>P126</f>
        <v>5280000</v>
      </c>
      <c r="R126" s="653">
        <v>5280000</v>
      </c>
      <c r="S126" s="654">
        <f t="shared" ref="S126" si="61">Q126-R126</f>
        <v>0</v>
      </c>
      <c r="T126" s="655">
        <f t="shared" si="60"/>
        <v>0</v>
      </c>
    </row>
    <row r="127" spans="1:22" ht="14.45" customHeight="1">
      <c r="A127" s="778"/>
      <c r="B127" s="786"/>
      <c r="C127" s="792"/>
      <c r="D127" s="786"/>
      <c r="E127" s="3282"/>
      <c r="F127" s="2275" t="s">
        <v>1448</v>
      </c>
      <c r="G127" s="2283">
        <v>200000</v>
      </c>
      <c r="H127" s="2284" t="s">
        <v>1449</v>
      </c>
      <c r="I127" s="2307">
        <v>2</v>
      </c>
      <c r="J127" s="2284"/>
      <c r="K127" s="2286"/>
      <c r="L127" s="2287"/>
      <c r="M127" s="2286"/>
      <c r="N127" s="2288"/>
      <c r="O127" s="2288" t="s">
        <v>1450</v>
      </c>
      <c r="P127" s="2289">
        <f t="shared" ref="P127:P133" si="62">ROUNDUP(G127*I127,-3)</f>
        <v>400000</v>
      </c>
      <c r="Q127" s="694"/>
      <c r="R127" s="694"/>
      <c r="S127" s="695"/>
      <c r="T127" s="696"/>
    </row>
    <row r="128" spans="1:22" ht="14.45" customHeight="1">
      <c r="A128" s="778"/>
      <c r="B128" s="786"/>
      <c r="C128" s="792"/>
      <c r="D128" s="786"/>
      <c r="E128" s="3282"/>
      <c r="F128" s="2275" t="s">
        <v>1451</v>
      </c>
      <c r="G128" s="2283">
        <v>100000</v>
      </c>
      <c r="H128" s="2284" t="s">
        <v>1452</v>
      </c>
      <c r="I128" s="2307">
        <v>2</v>
      </c>
      <c r="J128" s="2284"/>
      <c r="K128" s="2286"/>
      <c r="L128" s="2287"/>
      <c r="M128" s="2286"/>
      <c r="N128" s="2288"/>
      <c r="O128" s="2288" t="s">
        <v>1450</v>
      </c>
      <c r="P128" s="2289">
        <f t="shared" si="62"/>
        <v>200000</v>
      </c>
      <c r="Q128" s="694"/>
      <c r="R128" s="694"/>
      <c r="S128" s="695"/>
      <c r="T128" s="696"/>
    </row>
    <row r="129" spans="1:20" ht="14.45" customHeight="1">
      <c r="A129" s="778"/>
      <c r="B129" s="786"/>
      <c r="C129" s="792"/>
      <c r="D129" s="786"/>
      <c r="E129" s="3282"/>
      <c r="F129" s="2275" t="s">
        <v>318</v>
      </c>
      <c r="G129" s="2283">
        <v>750000</v>
      </c>
      <c r="H129" s="2284" t="s">
        <v>1449</v>
      </c>
      <c r="I129" s="2307">
        <v>4</v>
      </c>
      <c r="J129" s="2284"/>
      <c r="K129" s="2286"/>
      <c r="L129" s="2287"/>
      <c r="M129" s="2286"/>
      <c r="N129" s="2288"/>
      <c r="O129" s="2288" t="s">
        <v>22</v>
      </c>
      <c r="P129" s="2289">
        <f t="shared" si="62"/>
        <v>3000000</v>
      </c>
      <c r="Q129" s="694"/>
      <c r="R129" s="694"/>
      <c r="S129" s="695"/>
      <c r="T129" s="696"/>
    </row>
    <row r="130" spans="1:20" ht="14.45" customHeight="1">
      <c r="A130" s="778"/>
      <c r="B130" s="786"/>
      <c r="C130" s="792"/>
      <c r="D130" s="786"/>
      <c r="E130" s="3282"/>
      <c r="F130" s="2275" t="s">
        <v>1453</v>
      </c>
      <c r="G130" s="2283">
        <v>100000</v>
      </c>
      <c r="H130" s="2284" t="s">
        <v>51</v>
      </c>
      <c r="I130" s="2307">
        <v>4</v>
      </c>
      <c r="J130" s="2284"/>
      <c r="K130" s="2286"/>
      <c r="L130" s="2287"/>
      <c r="M130" s="2286"/>
      <c r="N130" s="2288"/>
      <c r="O130" s="2288" t="s">
        <v>1454</v>
      </c>
      <c r="P130" s="2289">
        <f t="shared" si="62"/>
        <v>400000</v>
      </c>
      <c r="Q130" s="694"/>
      <c r="R130" s="694"/>
      <c r="S130" s="695"/>
      <c r="T130" s="696"/>
    </row>
    <row r="131" spans="1:20" ht="14.45" customHeight="1">
      <c r="A131" s="778"/>
      <c r="B131" s="786"/>
      <c r="C131" s="792"/>
      <c r="D131" s="786"/>
      <c r="E131" s="3282"/>
      <c r="F131" s="2275" t="s">
        <v>195</v>
      </c>
      <c r="G131" s="2283">
        <v>200000</v>
      </c>
      <c r="H131" s="2284" t="s">
        <v>51</v>
      </c>
      <c r="I131" s="2307">
        <v>2</v>
      </c>
      <c r="J131" s="2284"/>
      <c r="K131" s="2286"/>
      <c r="L131" s="2287"/>
      <c r="M131" s="2286"/>
      <c r="N131" s="2288"/>
      <c r="O131" s="2288" t="s">
        <v>32</v>
      </c>
      <c r="P131" s="2289">
        <f t="shared" si="62"/>
        <v>400000</v>
      </c>
      <c r="Q131" s="694"/>
      <c r="R131" s="694"/>
      <c r="S131" s="695"/>
      <c r="T131" s="696"/>
    </row>
    <row r="132" spans="1:20" ht="14.45" customHeight="1">
      <c r="A132" s="778"/>
      <c r="B132" s="786"/>
      <c r="C132" s="792"/>
      <c r="D132" s="786"/>
      <c r="E132" s="3282"/>
      <c r="F132" s="2275" t="s">
        <v>1455</v>
      </c>
      <c r="G132" s="2283">
        <v>200000</v>
      </c>
      <c r="H132" s="2284" t="s">
        <v>51</v>
      </c>
      <c r="I132" s="2307">
        <v>2</v>
      </c>
      <c r="J132" s="2284"/>
      <c r="K132" s="2286"/>
      <c r="L132" s="2287"/>
      <c r="M132" s="2286"/>
      <c r="N132" s="2288"/>
      <c r="O132" s="2288" t="s">
        <v>1456</v>
      </c>
      <c r="P132" s="2289">
        <f t="shared" si="62"/>
        <v>400000</v>
      </c>
      <c r="Q132" s="694"/>
      <c r="R132" s="694"/>
      <c r="S132" s="695"/>
      <c r="T132" s="696"/>
    </row>
    <row r="133" spans="1:20" ht="14.45" customHeight="1">
      <c r="A133" s="778"/>
      <c r="B133" s="786"/>
      <c r="C133" s="792"/>
      <c r="D133" s="786"/>
      <c r="E133" s="3282"/>
      <c r="F133" s="2275" t="s">
        <v>1457</v>
      </c>
      <c r="G133" s="2283">
        <v>120000</v>
      </c>
      <c r="H133" s="2284" t="s">
        <v>1458</v>
      </c>
      <c r="I133" s="2286">
        <v>4</v>
      </c>
      <c r="J133" s="2284"/>
      <c r="K133" s="2286"/>
      <c r="L133" s="2287"/>
      <c r="M133" s="2286"/>
      <c r="N133" s="2288"/>
      <c r="O133" s="2288" t="s">
        <v>32</v>
      </c>
      <c r="P133" s="2289">
        <f t="shared" si="62"/>
        <v>480000</v>
      </c>
      <c r="Q133" s="694"/>
      <c r="R133" s="694"/>
      <c r="S133" s="695"/>
      <c r="T133" s="696"/>
    </row>
    <row r="134" spans="1:20" ht="14.45" customHeight="1">
      <c r="A134" s="778"/>
      <c r="B134" s="786"/>
      <c r="C134" s="792"/>
      <c r="D134" s="786"/>
      <c r="E134" s="3637" t="s">
        <v>3098</v>
      </c>
      <c r="F134" s="3638"/>
      <c r="G134" s="3638"/>
      <c r="H134" s="3638"/>
      <c r="I134" s="3638"/>
      <c r="J134" s="3638"/>
      <c r="K134" s="3638"/>
      <c r="L134" s="3638"/>
      <c r="M134" s="3638"/>
      <c r="N134" s="3638"/>
      <c r="O134" s="3638"/>
      <c r="P134" s="3639"/>
      <c r="Q134" s="645">
        <f>P135</f>
        <v>700000</v>
      </c>
      <c r="R134" s="645">
        <v>1200000</v>
      </c>
      <c r="S134" s="646">
        <f>Q134-R134</f>
        <v>-500000</v>
      </c>
      <c r="T134" s="647">
        <f t="shared" ref="T134:T135" si="63">S134/R134</f>
        <v>-0.41666666666666669</v>
      </c>
    </row>
    <row r="135" spans="1:20" ht="14.45" customHeight="1">
      <c r="A135" s="778"/>
      <c r="B135" s="786"/>
      <c r="C135" s="792"/>
      <c r="D135" s="786"/>
      <c r="E135" s="1164"/>
      <c r="F135" s="1507" t="s">
        <v>1459</v>
      </c>
      <c r="G135" s="686"/>
      <c r="H135" s="679"/>
      <c r="I135" s="679"/>
      <c r="J135" s="679"/>
      <c r="K135" s="679"/>
      <c r="L135" s="1508"/>
      <c r="M135" s="679"/>
      <c r="N135" s="687"/>
      <c r="O135" s="687"/>
      <c r="P135" s="681">
        <f>SUM(P136:P137)</f>
        <v>700000</v>
      </c>
      <c r="Q135" s="653">
        <f>P135</f>
        <v>700000</v>
      </c>
      <c r="R135" s="653">
        <v>1200000</v>
      </c>
      <c r="S135" s="654">
        <f t="shared" ref="S135" si="64">Q135-R135</f>
        <v>-500000</v>
      </c>
      <c r="T135" s="655">
        <f t="shared" si="63"/>
        <v>-0.41666666666666669</v>
      </c>
    </row>
    <row r="136" spans="1:20" ht="14.45" customHeight="1">
      <c r="A136" s="778"/>
      <c r="B136" s="786"/>
      <c r="C136" s="792"/>
      <c r="D136" s="786"/>
      <c r="E136" s="3282"/>
      <c r="F136" s="2275" t="s">
        <v>1460</v>
      </c>
      <c r="G136" s="2283">
        <v>500000</v>
      </c>
      <c r="H136" s="2284" t="s">
        <v>1004</v>
      </c>
      <c r="I136" s="2285">
        <v>1</v>
      </c>
      <c r="J136" s="2284"/>
      <c r="K136" s="2286"/>
      <c r="L136" s="2287"/>
      <c r="M136" s="2286"/>
      <c r="N136" s="2288"/>
      <c r="O136" s="2288" t="s">
        <v>1403</v>
      </c>
      <c r="P136" s="2289">
        <f>ROUNDUP(G136*I136,-3)</f>
        <v>500000</v>
      </c>
      <c r="Q136" s="694"/>
      <c r="R136" s="694"/>
      <c r="S136" s="695"/>
      <c r="T136" s="696"/>
    </row>
    <row r="137" spans="1:20" ht="14.45" customHeight="1">
      <c r="A137" s="778"/>
      <c r="B137" s="786"/>
      <c r="C137" s="792"/>
      <c r="D137" s="786"/>
      <c r="E137" s="3283"/>
      <c r="F137" s="2282" t="s">
        <v>1461</v>
      </c>
      <c r="G137" s="2290">
        <v>200000</v>
      </c>
      <c r="H137" s="2284" t="s">
        <v>1004</v>
      </c>
      <c r="I137" s="2285">
        <v>1</v>
      </c>
      <c r="J137" s="2284"/>
      <c r="K137" s="2286"/>
      <c r="L137" s="2287"/>
      <c r="M137" s="2286"/>
      <c r="N137" s="2288"/>
      <c r="O137" s="2288" t="s">
        <v>913</v>
      </c>
      <c r="P137" s="2241">
        <f>ROUNDUP(G137*I137,-3)</f>
        <v>200000</v>
      </c>
      <c r="Q137" s="694"/>
      <c r="R137" s="694"/>
      <c r="S137" s="695"/>
      <c r="T137" s="696"/>
    </row>
    <row r="138" spans="1:20" ht="14.45" customHeight="1">
      <c r="A138" s="778"/>
      <c r="B138" s="786"/>
      <c r="C138" s="792"/>
      <c r="D138" s="786"/>
      <c r="E138" s="3637" t="s">
        <v>198</v>
      </c>
      <c r="F138" s="3638"/>
      <c r="G138" s="3638"/>
      <c r="H138" s="3638"/>
      <c r="I138" s="3638"/>
      <c r="J138" s="3638"/>
      <c r="K138" s="3638"/>
      <c r="L138" s="3638"/>
      <c r="M138" s="3638"/>
      <c r="N138" s="3638"/>
      <c r="O138" s="3638"/>
      <c r="P138" s="3639"/>
      <c r="Q138" s="645">
        <f>P139</f>
        <v>1520000</v>
      </c>
      <c r="R138" s="645">
        <v>1520000</v>
      </c>
      <c r="S138" s="646">
        <f>Q138-R138</f>
        <v>0</v>
      </c>
      <c r="T138" s="647">
        <f t="shared" ref="T138:T139" si="65">S138/R138</f>
        <v>0</v>
      </c>
    </row>
    <row r="139" spans="1:20" ht="14.45" customHeight="1">
      <c r="A139" s="778"/>
      <c r="B139" s="786"/>
      <c r="C139" s="792"/>
      <c r="D139" s="786"/>
      <c r="F139" s="1507" t="s">
        <v>1462</v>
      </c>
      <c r="G139" s="686"/>
      <c r="H139" s="679"/>
      <c r="I139" s="679"/>
      <c r="J139" s="679"/>
      <c r="K139" s="679"/>
      <c r="L139" s="1508"/>
      <c r="M139" s="679"/>
      <c r="N139" s="687"/>
      <c r="O139" s="687"/>
      <c r="P139" s="681">
        <f>SUM(P140:P141)</f>
        <v>1520000</v>
      </c>
      <c r="Q139" s="653">
        <f>P139</f>
        <v>1520000</v>
      </c>
      <c r="R139" s="653">
        <v>1520000</v>
      </c>
      <c r="S139" s="654">
        <f t="shared" ref="S139" si="66">Q139-R139</f>
        <v>0</v>
      </c>
      <c r="T139" s="655">
        <f t="shared" si="65"/>
        <v>0</v>
      </c>
    </row>
    <row r="140" spans="1:20" ht="14.45" customHeight="1">
      <c r="A140" s="778"/>
      <c r="B140" s="786"/>
      <c r="C140" s="792"/>
      <c r="D140" s="786"/>
      <c r="F140" s="2231" t="s">
        <v>1463</v>
      </c>
      <c r="G140" s="698">
        <v>110000</v>
      </c>
      <c r="H140" s="699" t="s">
        <v>51</v>
      </c>
      <c r="I140" s="2239">
        <v>12</v>
      </c>
      <c r="J140" s="699"/>
      <c r="K140" s="2239"/>
      <c r="L140" s="2240"/>
      <c r="M140" s="2239"/>
      <c r="N140" s="728"/>
      <c r="O140" s="728" t="s">
        <v>1464</v>
      </c>
      <c r="P140" s="2241">
        <f>ROUNDUP(G140*I140,-3)</f>
        <v>1320000</v>
      </c>
      <c r="Q140" s="694"/>
      <c r="R140" s="694"/>
      <c r="S140" s="695"/>
      <c r="T140" s="696"/>
    </row>
    <row r="141" spans="1:20" ht="14.45" customHeight="1">
      <c r="A141" s="778"/>
      <c r="B141" s="786"/>
      <c r="C141" s="792"/>
      <c r="D141" s="786"/>
      <c r="F141" s="2275" t="s">
        <v>1465</v>
      </c>
      <c r="G141" s="2283">
        <v>200000</v>
      </c>
      <c r="H141" s="2284" t="s">
        <v>51</v>
      </c>
      <c r="I141" s="2308">
        <v>1</v>
      </c>
      <c r="J141" s="2284"/>
      <c r="K141" s="2286"/>
      <c r="L141" s="2287"/>
      <c r="M141" s="2286"/>
      <c r="N141" s="2288"/>
      <c r="O141" s="2288" t="s">
        <v>811</v>
      </c>
      <c r="P141" s="2289">
        <f>ROUNDUP(G141*I141,-3)</f>
        <v>200000</v>
      </c>
      <c r="Q141" s="694"/>
      <c r="R141" s="694"/>
      <c r="S141" s="695"/>
      <c r="T141" s="696"/>
    </row>
    <row r="142" spans="1:20" ht="14.45" customHeight="1">
      <c r="A142" s="778"/>
      <c r="B142" s="786"/>
      <c r="C142" s="792"/>
      <c r="D142" s="786"/>
      <c r="E142" s="3637" t="s">
        <v>221</v>
      </c>
      <c r="F142" s="3638"/>
      <c r="G142" s="3638"/>
      <c r="H142" s="3638"/>
      <c r="I142" s="3638"/>
      <c r="J142" s="3638"/>
      <c r="K142" s="3638"/>
      <c r="L142" s="3638"/>
      <c r="M142" s="3638"/>
      <c r="N142" s="3638"/>
      <c r="O142" s="3638"/>
      <c r="P142" s="3639"/>
      <c r="Q142" s="645">
        <f>P143</f>
        <v>1200000</v>
      </c>
      <c r="R142" s="645">
        <v>4200000</v>
      </c>
      <c r="S142" s="646">
        <f>Q142-R142</f>
        <v>-3000000</v>
      </c>
      <c r="T142" s="647">
        <f t="shared" ref="T142:T143" si="67">S142/R142</f>
        <v>-0.7142857142857143</v>
      </c>
    </row>
    <row r="143" spans="1:20" ht="14.45" customHeight="1">
      <c r="A143" s="778"/>
      <c r="B143" s="786"/>
      <c r="C143" s="792"/>
      <c r="D143" s="786"/>
      <c r="E143" s="786"/>
      <c r="F143" s="1507" t="s">
        <v>1466</v>
      </c>
      <c r="G143" s="686"/>
      <c r="H143" s="679"/>
      <c r="I143" s="679"/>
      <c r="J143" s="679"/>
      <c r="K143" s="679"/>
      <c r="L143" s="1508"/>
      <c r="M143" s="679"/>
      <c r="N143" s="687"/>
      <c r="O143" s="687"/>
      <c r="P143" s="681">
        <f>SUM(P144)</f>
        <v>1200000</v>
      </c>
      <c r="Q143" s="653">
        <f>P143</f>
        <v>1200000</v>
      </c>
      <c r="R143" s="653">
        <v>4200000</v>
      </c>
      <c r="S143" s="654">
        <f t="shared" ref="S143" si="68">Q143-R143</f>
        <v>-3000000</v>
      </c>
      <c r="T143" s="655">
        <f t="shared" si="67"/>
        <v>-0.7142857142857143</v>
      </c>
    </row>
    <row r="144" spans="1:20" ht="14.45" customHeight="1">
      <c r="A144" s="778"/>
      <c r="B144" s="786"/>
      <c r="C144" s="792"/>
      <c r="D144" s="786"/>
      <c r="E144" s="846"/>
      <c r="F144" s="1531" t="s">
        <v>1467</v>
      </c>
      <c r="G144" s="2309">
        <v>100000</v>
      </c>
      <c r="H144" s="2310" t="s">
        <v>51</v>
      </c>
      <c r="I144" s="2311">
        <v>12</v>
      </c>
      <c r="J144" s="2310"/>
      <c r="K144" s="2311"/>
      <c r="L144" s="2312"/>
      <c r="M144" s="2311"/>
      <c r="N144" s="2313"/>
      <c r="O144" s="2313" t="s">
        <v>32</v>
      </c>
      <c r="P144" s="2314">
        <f>ROUNDUP(G144*I144,-3)</f>
        <v>1200000</v>
      </c>
      <c r="Q144" s="1561"/>
      <c r="R144" s="1561"/>
      <c r="S144" s="1562"/>
      <c r="T144" s="1563"/>
    </row>
    <row r="145" spans="1:20" ht="14.45" customHeight="1">
      <c r="A145" s="778"/>
      <c r="B145" s="786"/>
      <c r="C145" s="792"/>
      <c r="D145" s="786"/>
      <c r="E145" s="3637" t="s">
        <v>3097</v>
      </c>
      <c r="F145" s="3638"/>
      <c r="G145" s="3638"/>
      <c r="H145" s="3638"/>
      <c r="I145" s="3638"/>
      <c r="J145" s="3638"/>
      <c r="K145" s="3638"/>
      <c r="L145" s="3638"/>
      <c r="M145" s="3638"/>
      <c r="N145" s="3638"/>
      <c r="O145" s="3638"/>
      <c r="P145" s="3639"/>
      <c r="Q145" s="645">
        <f>P146+P148</f>
        <v>1200000</v>
      </c>
      <c r="R145" s="1049">
        <v>1600000</v>
      </c>
      <c r="S145" s="646">
        <f>Q145-R145</f>
        <v>-400000</v>
      </c>
      <c r="T145" s="647">
        <f t="shared" ref="T145:T146" si="69">S145/R145</f>
        <v>-0.25</v>
      </c>
    </row>
    <row r="146" spans="1:20" ht="14.45" customHeight="1">
      <c r="A146" s="778"/>
      <c r="B146" s="786"/>
      <c r="C146" s="792"/>
      <c r="D146" s="786"/>
      <c r="F146" s="1507" t="s">
        <v>1468</v>
      </c>
      <c r="G146" s="686"/>
      <c r="H146" s="679"/>
      <c r="I146" s="679"/>
      <c r="J146" s="679"/>
      <c r="K146" s="679"/>
      <c r="L146" s="1508"/>
      <c r="M146" s="679"/>
      <c r="N146" s="687"/>
      <c r="O146" s="687"/>
      <c r="P146" s="681">
        <f>SUM(P147)</f>
        <v>720000</v>
      </c>
      <c r="Q146" s="653">
        <f>P146</f>
        <v>720000</v>
      </c>
      <c r="R146" s="653">
        <v>1200000</v>
      </c>
      <c r="S146" s="654">
        <f t="shared" ref="S146" si="70">Q146-R146</f>
        <v>-480000</v>
      </c>
      <c r="T146" s="655">
        <f t="shared" si="69"/>
        <v>-0.4</v>
      </c>
    </row>
    <row r="147" spans="1:20" ht="14.45" customHeight="1">
      <c r="A147" s="778"/>
      <c r="B147" s="786"/>
      <c r="C147" s="792"/>
      <c r="D147" s="786"/>
      <c r="F147" s="2275" t="s">
        <v>1469</v>
      </c>
      <c r="G147" s="658">
        <v>60000</v>
      </c>
      <c r="H147" s="2277" t="s">
        <v>1470</v>
      </c>
      <c r="I147" s="2278">
        <v>12</v>
      </c>
      <c r="J147" s="2277"/>
      <c r="K147" s="2278"/>
      <c r="L147" s="2279"/>
      <c r="M147" s="2278"/>
      <c r="N147" s="2280"/>
      <c r="O147" s="2280" t="s">
        <v>811</v>
      </c>
      <c r="P147" s="2281">
        <f>ROUNDUP(G147*I147,-3)</f>
        <v>720000</v>
      </c>
      <c r="Q147" s="666"/>
      <c r="R147" s="666"/>
      <c r="S147" s="667"/>
      <c r="T147" s="668"/>
    </row>
    <row r="148" spans="1:20" ht="14.45" customHeight="1">
      <c r="A148" s="778"/>
      <c r="B148" s="786"/>
      <c r="C148" s="792"/>
      <c r="D148" s="786"/>
      <c r="E148" s="3282"/>
      <c r="F148" s="1507" t="s">
        <v>1471</v>
      </c>
      <c r="G148" s="686"/>
      <c r="H148" s="679"/>
      <c r="I148" s="679"/>
      <c r="J148" s="679"/>
      <c r="K148" s="679"/>
      <c r="L148" s="1508"/>
      <c r="M148" s="679"/>
      <c r="N148" s="687"/>
      <c r="O148" s="687"/>
      <c r="P148" s="681">
        <f>SUM(P149)</f>
        <v>480000</v>
      </c>
      <c r="Q148" s="653">
        <f>P148</f>
        <v>480000</v>
      </c>
      <c r="R148" s="653">
        <v>400000</v>
      </c>
      <c r="S148" s="654">
        <f t="shared" ref="S148" si="71">Q148-R148</f>
        <v>80000</v>
      </c>
      <c r="T148" s="655">
        <f t="shared" ref="T148" si="72">S148/R148</f>
        <v>0.2</v>
      </c>
    </row>
    <row r="149" spans="1:20" ht="14.45" customHeight="1">
      <c r="A149" s="778"/>
      <c r="B149" s="786"/>
      <c r="C149" s="792"/>
      <c r="D149" s="786"/>
      <c r="E149" s="3317"/>
      <c r="F149" s="2315" t="s">
        <v>1472</v>
      </c>
      <c r="G149" s="2316">
        <v>80000</v>
      </c>
      <c r="H149" s="2298" t="s">
        <v>1473</v>
      </c>
      <c r="I149" s="2299">
        <v>6</v>
      </c>
      <c r="J149" s="2298"/>
      <c r="K149" s="2302"/>
      <c r="L149" s="2301"/>
      <c r="M149" s="2302"/>
      <c r="N149" s="2303"/>
      <c r="O149" s="2303" t="s">
        <v>811</v>
      </c>
      <c r="P149" s="2304">
        <f>ROUNDUP(G149*I149,-3)</f>
        <v>480000</v>
      </c>
      <c r="Q149" s="712"/>
      <c r="R149" s="712"/>
      <c r="S149" s="713"/>
      <c r="T149" s="696"/>
    </row>
    <row r="150" spans="1:20" ht="14.45" customHeight="1">
      <c r="A150" s="778"/>
      <c r="B150" s="786"/>
      <c r="C150" s="792"/>
      <c r="D150" s="786"/>
      <c r="E150" s="3637" t="s">
        <v>3018</v>
      </c>
      <c r="F150" s="3638"/>
      <c r="G150" s="3638"/>
      <c r="H150" s="3638"/>
      <c r="I150" s="3638"/>
      <c r="J150" s="3638"/>
      <c r="K150" s="3638"/>
      <c r="L150" s="3638"/>
      <c r="M150" s="3638"/>
      <c r="N150" s="3638"/>
      <c r="O150" s="3638"/>
      <c r="P150" s="3639"/>
      <c r="Q150" s="1049">
        <f>P151+P153</f>
        <v>1700000</v>
      </c>
      <c r="R150" s="1049">
        <v>1400000</v>
      </c>
      <c r="S150" s="1050">
        <f>Q150-R150</f>
        <v>300000</v>
      </c>
      <c r="T150" s="647">
        <f t="shared" ref="T150:T151" si="73">S150/R150</f>
        <v>0.21428571428571427</v>
      </c>
    </row>
    <row r="151" spans="1:20" ht="14.45" customHeight="1">
      <c r="A151" s="778"/>
      <c r="B151" s="786"/>
      <c r="C151" s="792"/>
      <c r="D151" s="786"/>
      <c r="F151" s="1507" t="s">
        <v>1018</v>
      </c>
      <c r="G151" s="686"/>
      <c r="H151" s="679"/>
      <c r="I151" s="679"/>
      <c r="J151" s="679"/>
      <c r="K151" s="679"/>
      <c r="L151" s="1508"/>
      <c r="M151" s="679"/>
      <c r="N151" s="687"/>
      <c r="O151" s="687"/>
      <c r="P151" s="681">
        <f>SUM(P152:P152)</f>
        <v>1200000</v>
      </c>
      <c r="Q151" s="653">
        <f>P151</f>
        <v>1200000</v>
      </c>
      <c r="R151" s="653">
        <v>900000</v>
      </c>
      <c r="S151" s="654">
        <f t="shared" ref="S151" si="74">Q151-R151</f>
        <v>300000</v>
      </c>
      <c r="T151" s="655">
        <f t="shared" si="73"/>
        <v>0.33333333333333331</v>
      </c>
    </row>
    <row r="152" spans="1:20" ht="14.45" customHeight="1">
      <c r="A152" s="1130"/>
      <c r="B152" s="846"/>
      <c r="C152" s="780"/>
      <c r="D152" s="846"/>
      <c r="E152" s="3317"/>
      <c r="F152" s="2315" t="s">
        <v>1474</v>
      </c>
      <c r="G152" s="706">
        <v>300000</v>
      </c>
      <c r="H152" s="2298" t="s">
        <v>912</v>
      </c>
      <c r="I152" s="2299">
        <v>4</v>
      </c>
      <c r="J152" s="2298"/>
      <c r="K152" s="2302"/>
      <c r="L152" s="2301"/>
      <c r="M152" s="2302"/>
      <c r="N152" s="2303"/>
      <c r="O152" s="2303" t="s">
        <v>32</v>
      </c>
      <c r="P152" s="2304">
        <f>ROUNDUP(G152*I152,-3)</f>
        <v>1200000</v>
      </c>
      <c r="Q152" s="712"/>
      <c r="R152" s="712"/>
      <c r="S152" s="713"/>
      <c r="T152" s="714"/>
    </row>
    <row r="153" spans="1:20" ht="14.45" customHeight="1">
      <c r="A153" s="778"/>
      <c r="B153" s="786"/>
      <c r="C153" s="792"/>
      <c r="D153" s="786"/>
      <c r="F153" s="1507" t="s">
        <v>1351</v>
      </c>
      <c r="G153" s="686"/>
      <c r="H153" s="679"/>
      <c r="I153" s="679"/>
      <c r="J153" s="679"/>
      <c r="K153" s="679"/>
      <c r="L153" s="1508"/>
      <c r="M153" s="679"/>
      <c r="N153" s="687"/>
      <c r="O153" s="687"/>
      <c r="P153" s="681">
        <f>SUM(P154:P154)</f>
        <v>500000</v>
      </c>
      <c r="Q153" s="653">
        <f>P153</f>
        <v>500000</v>
      </c>
      <c r="R153" s="653">
        <v>500000</v>
      </c>
      <c r="S153" s="654">
        <f t="shared" ref="S153" si="75">Q153-R153</f>
        <v>0</v>
      </c>
      <c r="T153" s="655">
        <f t="shared" ref="T153" si="76">S153/R153</f>
        <v>0</v>
      </c>
    </row>
    <row r="154" spans="1:20" ht="14.45" customHeight="1">
      <c r="A154" s="778"/>
      <c r="B154" s="786"/>
      <c r="C154" s="792"/>
      <c r="D154" s="786"/>
      <c r="E154" s="3282"/>
      <c r="F154" s="2275" t="s">
        <v>319</v>
      </c>
      <c r="G154" s="698">
        <v>500000</v>
      </c>
      <c r="H154" s="2284" t="s">
        <v>51</v>
      </c>
      <c r="I154" s="2285">
        <v>1</v>
      </c>
      <c r="J154" s="2284"/>
      <c r="K154" s="2286"/>
      <c r="L154" s="2287"/>
      <c r="M154" s="2286"/>
      <c r="N154" s="2288"/>
      <c r="O154" s="2288" t="s">
        <v>32</v>
      </c>
      <c r="P154" s="2289">
        <f>ROUNDUP(G154*I154,-3)</f>
        <v>500000</v>
      </c>
      <c r="Q154" s="694"/>
      <c r="R154" s="694"/>
      <c r="S154" s="695"/>
      <c r="T154" s="696"/>
    </row>
    <row r="155" spans="1:20" ht="14.45" customHeight="1">
      <c r="A155" s="778"/>
      <c r="B155" s="786"/>
      <c r="C155" s="792"/>
      <c r="D155" s="786"/>
      <c r="E155" s="3637" t="s">
        <v>3096</v>
      </c>
      <c r="F155" s="3638"/>
      <c r="G155" s="3638"/>
      <c r="H155" s="3638"/>
      <c r="I155" s="3638"/>
      <c r="J155" s="3638"/>
      <c r="K155" s="3638"/>
      <c r="L155" s="3638"/>
      <c r="M155" s="3638"/>
      <c r="N155" s="3638"/>
      <c r="O155" s="3638"/>
      <c r="P155" s="3639"/>
      <c r="Q155" s="645">
        <f>P156</f>
        <v>952000</v>
      </c>
      <c r="R155" s="645">
        <v>952000</v>
      </c>
      <c r="S155" s="646">
        <f>Q155-R155</f>
        <v>0</v>
      </c>
      <c r="T155" s="647">
        <f t="shared" ref="T155:T156" si="77">S155/R155</f>
        <v>0</v>
      </c>
    </row>
    <row r="156" spans="1:20" ht="14.45" customHeight="1">
      <c r="A156" s="778"/>
      <c r="B156" s="786"/>
      <c r="C156" s="792"/>
      <c r="D156" s="786"/>
      <c r="F156" s="1507" t="s">
        <v>1475</v>
      </c>
      <c r="G156" s="686"/>
      <c r="H156" s="679"/>
      <c r="I156" s="679"/>
      <c r="J156" s="679"/>
      <c r="K156" s="679"/>
      <c r="L156" s="1508"/>
      <c r="M156" s="679"/>
      <c r="N156" s="687"/>
      <c r="O156" s="687"/>
      <c r="P156" s="681">
        <f>SUM(P157:P160)</f>
        <v>952000</v>
      </c>
      <c r="Q156" s="653">
        <f>P156</f>
        <v>952000</v>
      </c>
      <c r="R156" s="653">
        <v>952000</v>
      </c>
      <c r="S156" s="654">
        <f t="shared" ref="S156" si="78">Q156-R156</f>
        <v>0</v>
      </c>
      <c r="T156" s="655">
        <f t="shared" si="77"/>
        <v>0</v>
      </c>
    </row>
    <row r="157" spans="1:20" ht="14.45" customHeight="1">
      <c r="A157" s="778"/>
      <c r="B157" s="786"/>
      <c r="C157" s="792"/>
      <c r="D157" s="786"/>
      <c r="E157" s="3282"/>
      <c r="F157" s="2275" t="s">
        <v>1476</v>
      </c>
      <c r="G157" s="2276">
        <v>300000</v>
      </c>
      <c r="H157" s="2277" t="s">
        <v>21</v>
      </c>
      <c r="I157" s="2295">
        <v>1</v>
      </c>
      <c r="J157" s="2277"/>
      <c r="K157" s="2278"/>
      <c r="L157" s="2279"/>
      <c r="M157" s="2278"/>
      <c r="N157" s="2280"/>
      <c r="O157" s="2280" t="s">
        <v>900</v>
      </c>
      <c r="P157" s="2281">
        <f>ROUNDUP(G157*I157,-3)</f>
        <v>300000</v>
      </c>
      <c r="Q157" s="694"/>
      <c r="R157" s="694"/>
      <c r="S157" s="695"/>
      <c r="T157" s="696"/>
    </row>
    <row r="158" spans="1:20" ht="14.45" customHeight="1">
      <c r="A158" s="778"/>
      <c r="B158" s="786"/>
      <c r="C158" s="792"/>
      <c r="D158" s="786"/>
      <c r="E158" s="3283"/>
      <c r="F158" s="2282" t="s">
        <v>1477</v>
      </c>
      <c r="G158" s="2305">
        <v>100000</v>
      </c>
      <c r="H158" s="2277" t="s">
        <v>1478</v>
      </c>
      <c r="I158" s="2295">
        <v>2</v>
      </c>
      <c r="J158" s="2277"/>
      <c r="K158" s="2278"/>
      <c r="L158" s="2279"/>
      <c r="M158" s="2278"/>
      <c r="N158" s="2280"/>
      <c r="O158" s="2280" t="s">
        <v>900</v>
      </c>
      <c r="P158" s="2281">
        <f>ROUNDUP(G158*I158,-3)</f>
        <v>200000</v>
      </c>
      <c r="Q158" s="694"/>
      <c r="R158" s="694"/>
      <c r="S158" s="695"/>
      <c r="T158" s="696"/>
    </row>
    <row r="159" spans="1:20" ht="14.45" customHeight="1">
      <c r="A159" s="778"/>
      <c r="B159" s="786"/>
      <c r="C159" s="792"/>
      <c r="D159" s="786"/>
      <c r="E159" s="3283"/>
      <c r="F159" s="2282" t="s">
        <v>1479</v>
      </c>
      <c r="G159" s="2305">
        <v>200000</v>
      </c>
      <c r="H159" s="2277" t="s">
        <v>1478</v>
      </c>
      <c r="I159" s="2295">
        <v>1</v>
      </c>
      <c r="J159" s="2277"/>
      <c r="K159" s="2278"/>
      <c r="L159" s="2279"/>
      <c r="M159" s="2278"/>
      <c r="N159" s="2280"/>
      <c r="O159" s="2280" t="s">
        <v>820</v>
      </c>
      <c r="P159" s="2281">
        <f>ROUNDUP(G159*I159,-3)</f>
        <v>200000</v>
      </c>
      <c r="Q159" s="694"/>
      <c r="R159" s="694"/>
      <c r="S159" s="695"/>
      <c r="T159" s="696"/>
    </row>
    <row r="160" spans="1:20" ht="14.45" customHeight="1">
      <c r="A160" s="778"/>
      <c r="B160" s="786"/>
      <c r="C160" s="792"/>
      <c r="D160" s="786"/>
      <c r="E160" s="3283"/>
      <c r="F160" s="2282" t="s">
        <v>1480</v>
      </c>
      <c r="G160" s="2305">
        <v>252000</v>
      </c>
      <c r="H160" s="2277" t="s">
        <v>1478</v>
      </c>
      <c r="I160" s="2295">
        <v>1</v>
      </c>
      <c r="J160" s="2277"/>
      <c r="K160" s="2278"/>
      <c r="L160" s="2279"/>
      <c r="M160" s="2278"/>
      <c r="N160" s="2280"/>
      <c r="O160" s="2280" t="s">
        <v>900</v>
      </c>
      <c r="P160" s="2281">
        <f>ROUNDUP(G160*I160,-3)</f>
        <v>252000</v>
      </c>
      <c r="Q160" s="694"/>
      <c r="R160" s="694"/>
      <c r="S160" s="695"/>
      <c r="T160" s="696"/>
    </row>
    <row r="161" spans="1:22" s="1137" customFormat="1" ht="15" customHeight="1">
      <c r="A161" s="1166"/>
      <c r="B161" s="1139"/>
      <c r="C161" s="1168"/>
      <c r="D161" s="1144" t="s">
        <v>1482</v>
      </c>
      <c r="E161" s="3296"/>
      <c r="F161" s="1373"/>
      <c r="G161" s="1146"/>
      <c r="H161" s="1145"/>
      <c r="I161" s="1145"/>
      <c r="J161" s="1145"/>
      <c r="K161" s="1145"/>
      <c r="L161" s="1374"/>
      <c r="M161" s="1145"/>
      <c r="N161" s="1147"/>
      <c r="O161" s="1147"/>
      <c r="P161" s="1145"/>
      <c r="Q161" s="1148">
        <f>Q162</f>
        <v>1700000</v>
      </c>
      <c r="R161" s="1148">
        <f>R162</f>
        <v>2200000</v>
      </c>
      <c r="S161" s="1149">
        <f>Q161-R161</f>
        <v>-500000</v>
      </c>
      <c r="T161" s="2269">
        <f>S161/R161</f>
        <v>-0.22727272727272727</v>
      </c>
    </row>
    <row r="162" spans="1:22" ht="14.45" customHeight="1">
      <c r="A162" s="778"/>
      <c r="B162" s="786"/>
      <c r="C162" s="792"/>
      <c r="D162" s="786"/>
      <c r="E162" s="3637" t="s">
        <v>201</v>
      </c>
      <c r="F162" s="3638"/>
      <c r="G162" s="3638"/>
      <c r="H162" s="3638"/>
      <c r="I162" s="3638"/>
      <c r="J162" s="3638"/>
      <c r="K162" s="3638"/>
      <c r="L162" s="3638"/>
      <c r="M162" s="3638"/>
      <c r="N162" s="3638"/>
      <c r="O162" s="3638"/>
      <c r="P162" s="3639"/>
      <c r="Q162" s="645">
        <f>P163</f>
        <v>1700000</v>
      </c>
      <c r="R162" s="645">
        <v>2200000</v>
      </c>
      <c r="S162" s="646">
        <f>Q162-R162</f>
        <v>-500000</v>
      </c>
      <c r="T162" s="647">
        <f t="shared" ref="T162:T163" si="79">S162/R162</f>
        <v>-0.22727272727272727</v>
      </c>
    </row>
    <row r="163" spans="1:22" ht="14.45" customHeight="1">
      <c r="A163" s="778"/>
      <c r="B163" s="786"/>
      <c r="C163" s="792"/>
      <c r="D163" s="786"/>
      <c r="F163" s="1507" t="s">
        <v>1481</v>
      </c>
      <c r="G163" s="686"/>
      <c r="H163" s="679"/>
      <c r="I163" s="679"/>
      <c r="J163" s="679"/>
      <c r="K163" s="679"/>
      <c r="L163" s="1508"/>
      <c r="M163" s="679"/>
      <c r="N163" s="687"/>
      <c r="O163" s="687"/>
      <c r="P163" s="681">
        <f>SUM(P164:P165)</f>
        <v>1700000</v>
      </c>
      <c r="Q163" s="653">
        <f>P163</f>
        <v>1700000</v>
      </c>
      <c r="R163" s="653">
        <v>2200000</v>
      </c>
      <c r="S163" s="654">
        <f t="shared" ref="S163" si="80">Q163-R163</f>
        <v>-500000</v>
      </c>
      <c r="T163" s="655">
        <f t="shared" si="79"/>
        <v>-0.22727272727272727</v>
      </c>
    </row>
    <row r="164" spans="1:22" ht="14.45" customHeight="1">
      <c r="A164" s="778"/>
      <c r="B164" s="786"/>
      <c r="C164" s="792"/>
      <c r="D164" s="786"/>
      <c r="F164" s="2242" t="s">
        <v>2339</v>
      </c>
      <c r="G164" s="658">
        <v>150000</v>
      </c>
      <c r="H164" s="662" t="s">
        <v>21</v>
      </c>
      <c r="I164" s="690">
        <v>4</v>
      </c>
      <c r="J164" s="662"/>
      <c r="K164" s="662"/>
      <c r="L164" s="2236"/>
      <c r="M164" s="662"/>
      <c r="N164" s="669"/>
      <c r="O164" s="669" t="s">
        <v>32</v>
      </c>
      <c r="P164" s="2193">
        <f>G164*I164</f>
        <v>600000</v>
      </c>
      <c r="Q164" s="2317"/>
      <c r="R164" s="2317"/>
      <c r="S164" s="2318"/>
      <c r="T164" s="2319"/>
    </row>
    <row r="165" spans="1:22" ht="14.45" customHeight="1">
      <c r="A165" s="778"/>
      <c r="B165" s="786"/>
      <c r="C165" s="792"/>
      <c r="D165" s="786"/>
      <c r="E165" s="3282"/>
      <c r="F165" s="2242" t="s">
        <v>2340</v>
      </c>
      <c r="G165" s="658">
        <v>1100000</v>
      </c>
      <c r="H165" s="662" t="s">
        <v>817</v>
      </c>
      <c r="I165" s="690">
        <v>1</v>
      </c>
      <c r="J165" s="662"/>
      <c r="K165" s="663"/>
      <c r="L165" s="2191"/>
      <c r="M165" s="663"/>
      <c r="N165" s="669"/>
      <c r="O165" s="669" t="s">
        <v>32</v>
      </c>
      <c r="P165" s="2193">
        <f>G165*I165</f>
        <v>1100000</v>
      </c>
      <c r="Q165" s="2320"/>
      <c r="R165" s="2320"/>
      <c r="S165" s="2321"/>
      <c r="T165" s="2322"/>
    </row>
    <row r="166" spans="1:22" s="1137" customFormat="1" ht="15" customHeight="1">
      <c r="A166" s="1166"/>
      <c r="B166" s="1139"/>
      <c r="C166" s="1168"/>
      <c r="D166" s="1144" t="s">
        <v>1483</v>
      </c>
      <c r="E166" s="3296"/>
      <c r="F166" s="1373"/>
      <c r="G166" s="1146"/>
      <c r="H166" s="1145"/>
      <c r="I166" s="1145"/>
      <c r="J166" s="1145"/>
      <c r="K166" s="1145"/>
      <c r="L166" s="1374"/>
      <c r="M166" s="1145"/>
      <c r="N166" s="1147"/>
      <c r="O166" s="1147"/>
      <c r="P166" s="1145"/>
      <c r="Q166" s="1148">
        <f>Q167+Q185+Q192</f>
        <v>95204000</v>
      </c>
      <c r="R166" s="1148">
        <f>R167+R185+R192</f>
        <v>82400000</v>
      </c>
      <c r="S166" s="1149">
        <f>Q166-R166</f>
        <v>12804000</v>
      </c>
      <c r="T166" s="2269">
        <f>S166/R166</f>
        <v>0.1553883495145631</v>
      </c>
    </row>
    <row r="167" spans="1:22" ht="14.45" customHeight="1">
      <c r="A167" s="778"/>
      <c r="B167" s="786"/>
      <c r="C167" s="792"/>
      <c r="D167" s="786"/>
      <c r="E167" s="3637" t="s">
        <v>3095</v>
      </c>
      <c r="F167" s="3638"/>
      <c r="G167" s="3638"/>
      <c r="H167" s="3638"/>
      <c r="I167" s="3638"/>
      <c r="J167" s="3638"/>
      <c r="K167" s="3638"/>
      <c r="L167" s="3638"/>
      <c r="M167" s="3638"/>
      <c r="N167" s="3638"/>
      <c r="O167" s="3638"/>
      <c r="P167" s="3639"/>
      <c r="Q167" s="645">
        <f>P168+P171+P173+P183</f>
        <v>55672000</v>
      </c>
      <c r="R167" s="645">
        <f>SUM(R168:R184)</f>
        <v>38200000</v>
      </c>
      <c r="S167" s="646">
        <f>Q167-R167</f>
        <v>17472000</v>
      </c>
      <c r="T167" s="647">
        <f t="shared" ref="T167:T168" si="81">S167/R167</f>
        <v>0.45738219895287957</v>
      </c>
    </row>
    <row r="168" spans="1:22" ht="14.45" customHeight="1">
      <c r="A168" s="778"/>
      <c r="B168" s="786"/>
      <c r="C168" s="792"/>
      <c r="D168" s="786"/>
      <c r="E168" s="1143"/>
      <c r="F168" s="1507" t="s">
        <v>1484</v>
      </c>
      <c r="G168" s="686"/>
      <c r="H168" s="679"/>
      <c r="I168" s="679"/>
      <c r="J168" s="679"/>
      <c r="K168" s="679"/>
      <c r="L168" s="1508"/>
      <c r="M168" s="679"/>
      <c r="N168" s="687"/>
      <c r="O168" s="687"/>
      <c r="P168" s="681">
        <f>SUM(P169:P170)</f>
        <v>4000000</v>
      </c>
      <c r="Q168" s="653">
        <f>P168</f>
        <v>4000000</v>
      </c>
      <c r="R168" s="653">
        <v>4000000</v>
      </c>
      <c r="S168" s="654">
        <f t="shared" ref="S168" si="82">Q168-R168</f>
        <v>0</v>
      </c>
      <c r="T168" s="655">
        <f t="shared" si="81"/>
        <v>0</v>
      </c>
    </row>
    <row r="169" spans="1:22" ht="14.45" customHeight="1">
      <c r="A169" s="778"/>
      <c r="B169" s="786"/>
      <c r="C169" s="792"/>
      <c r="D169" s="786"/>
      <c r="E169" s="1143"/>
      <c r="F169" s="1509" t="s">
        <v>1485</v>
      </c>
      <c r="G169" s="2276">
        <v>700000</v>
      </c>
      <c r="H169" s="2277" t="s">
        <v>912</v>
      </c>
      <c r="I169" s="2295">
        <v>4</v>
      </c>
      <c r="J169" s="2277"/>
      <c r="K169" s="2278"/>
      <c r="L169" s="2279"/>
      <c r="M169" s="2278"/>
      <c r="N169" s="2280"/>
      <c r="O169" s="2280" t="s">
        <v>32</v>
      </c>
      <c r="P169" s="2281">
        <f>ROUNDUP(G169*I169,-3)</f>
        <v>2800000</v>
      </c>
      <c r="Q169" s="694"/>
      <c r="R169" s="694"/>
      <c r="S169" s="695"/>
      <c r="T169" s="696"/>
    </row>
    <row r="170" spans="1:22" ht="14.45" customHeight="1">
      <c r="A170" s="778"/>
      <c r="B170" s="786"/>
      <c r="C170" s="792"/>
      <c r="D170" s="786"/>
      <c r="E170" s="1143"/>
      <c r="F170" s="1509" t="s">
        <v>1486</v>
      </c>
      <c r="G170" s="702">
        <v>1200000</v>
      </c>
      <c r="H170" s="2277" t="s">
        <v>51</v>
      </c>
      <c r="I170" s="2295">
        <v>1</v>
      </c>
      <c r="J170" s="2277"/>
      <c r="K170" s="2278"/>
      <c r="L170" s="2279"/>
      <c r="M170" s="2278"/>
      <c r="N170" s="2280"/>
      <c r="O170" s="2280" t="s">
        <v>32</v>
      </c>
      <c r="P170" s="2281">
        <f>ROUNDUP(G170*I170,-3)</f>
        <v>1200000</v>
      </c>
      <c r="Q170" s="694"/>
      <c r="R170" s="694"/>
      <c r="S170" s="695"/>
      <c r="T170" s="696"/>
    </row>
    <row r="171" spans="1:22" ht="14.45" customHeight="1">
      <c r="A171" s="778"/>
      <c r="B171" s="786"/>
      <c r="C171" s="792"/>
      <c r="D171" s="786"/>
      <c r="E171" s="3306"/>
      <c r="F171" s="1507" t="s">
        <v>1487</v>
      </c>
      <c r="G171" s="686"/>
      <c r="H171" s="679"/>
      <c r="I171" s="679"/>
      <c r="J171" s="679"/>
      <c r="K171" s="679"/>
      <c r="L171" s="1508"/>
      <c r="M171" s="679"/>
      <c r="N171" s="687"/>
      <c r="O171" s="687" t="s">
        <v>22</v>
      </c>
      <c r="P171" s="681">
        <f>SUM(P172)</f>
        <v>200000</v>
      </c>
      <c r="Q171" s="653">
        <f>P171</f>
        <v>200000</v>
      </c>
      <c r="R171" s="653">
        <v>0</v>
      </c>
      <c r="S171" s="654">
        <f t="shared" ref="S171" si="83">Q171-R171</f>
        <v>200000</v>
      </c>
      <c r="T171" s="655"/>
      <c r="V171" s="1120"/>
    </row>
    <row r="172" spans="1:22" ht="14.45" customHeight="1">
      <c r="A172" s="778"/>
      <c r="B172" s="786"/>
      <c r="C172" s="792"/>
      <c r="D172" s="786"/>
      <c r="E172" s="3306"/>
      <c r="F172" s="1509" t="s">
        <v>1488</v>
      </c>
      <c r="G172" s="702">
        <v>20000</v>
      </c>
      <c r="H172" s="2277" t="s">
        <v>51</v>
      </c>
      <c r="I172" s="2278">
        <v>10</v>
      </c>
      <c r="J172" s="2277"/>
      <c r="K172" s="2278"/>
      <c r="L172" s="2279"/>
      <c r="M172" s="2278"/>
      <c r="N172" s="2280"/>
      <c r="O172" s="2280" t="s">
        <v>913</v>
      </c>
      <c r="P172" s="2281">
        <f>ROUNDUP(G172*I172,-3)</f>
        <v>200000</v>
      </c>
      <c r="Q172" s="694"/>
      <c r="R172" s="694"/>
      <c r="S172" s="695"/>
      <c r="T172" s="696"/>
    </row>
    <row r="173" spans="1:22" ht="14.45" customHeight="1">
      <c r="A173" s="778"/>
      <c r="B173" s="786"/>
      <c r="C173" s="792"/>
      <c r="D173" s="786"/>
      <c r="E173" s="3306"/>
      <c r="F173" s="1507" t="s">
        <v>1489</v>
      </c>
      <c r="G173" s="686"/>
      <c r="H173" s="679"/>
      <c r="I173" s="679"/>
      <c r="J173" s="679"/>
      <c r="K173" s="679"/>
      <c r="L173" s="1508"/>
      <c r="M173" s="679"/>
      <c r="N173" s="687"/>
      <c r="O173" s="687"/>
      <c r="P173" s="681">
        <f>SUM(P174:P182)</f>
        <v>37972000</v>
      </c>
      <c r="Q173" s="653">
        <f>P173</f>
        <v>37972000</v>
      </c>
      <c r="R173" s="653">
        <v>34200000</v>
      </c>
      <c r="S173" s="654">
        <f t="shared" ref="S173" si="84">Q173-R173</f>
        <v>3772000</v>
      </c>
      <c r="T173" s="655">
        <f t="shared" ref="T173" si="85">S173/R173</f>
        <v>0.11029239766081872</v>
      </c>
    </row>
    <row r="174" spans="1:22" ht="14.45" customHeight="1">
      <c r="A174" s="778"/>
      <c r="B174" s="786"/>
      <c r="C174" s="792"/>
      <c r="D174" s="786"/>
      <c r="E174" s="3306"/>
      <c r="F174" s="1509" t="s">
        <v>1276</v>
      </c>
      <c r="G174" s="702">
        <v>50320000</v>
      </c>
      <c r="H174" s="2277" t="s">
        <v>912</v>
      </c>
      <c r="I174" s="2325">
        <v>0.6</v>
      </c>
      <c r="J174" s="2277"/>
      <c r="K174" s="2278"/>
      <c r="L174" s="2279"/>
      <c r="M174" s="2278"/>
      <c r="N174" s="2280"/>
      <c r="O174" s="2280" t="s">
        <v>913</v>
      </c>
      <c r="P174" s="2281">
        <f>ROUNDUP(G174*I174,-3)</f>
        <v>30192000</v>
      </c>
      <c r="Q174" s="694"/>
      <c r="R174" s="694"/>
      <c r="S174" s="695"/>
      <c r="T174" s="696"/>
    </row>
    <row r="175" spans="1:22" ht="14.45" customHeight="1">
      <c r="A175" s="778"/>
      <c r="B175" s="786"/>
      <c r="C175" s="792"/>
      <c r="D175" s="786"/>
      <c r="E175" s="3306"/>
      <c r="F175" s="1509" t="s">
        <v>1490</v>
      </c>
      <c r="G175" s="880">
        <v>300000</v>
      </c>
      <c r="H175" s="2277" t="s">
        <v>912</v>
      </c>
      <c r="I175" s="2295">
        <v>1</v>
      </c>
      <c r="J175" s="691"/>
      <c r="K175" s="881"/>
      <c r="L175" s="1510"/>
      <c r="M175" s="881"/>
      <c r="N175" s="701"/>
      <c r="O175" s="2280" t="s">
        <v>913</v>
      </c>
      <c r="P175" s="2281">
        <f t="shared" ref="P175:P182" si="86">ROUNDUP(G175*I175,-3)</f>
        <v>300000</v>
      </c>
      <c r="Q175" s="694"/>
      <c r="R175" s="694"/>
      <c r="S175" s="695"/>
      <c r="T175" s="696"/>
    </row>
    <row r="176" spans="1:22" ht="14.45" customHeight="1">
      <c r="A176" s="778"/>
      <c r="B176" s="786"/>
      <c r="C176" s="792"/>
      <c r="D176" s="786"/>
      <c r="E176" s="3306"/>
      <c r="F176" s="1509" t="s">
        <v>1491</v>
      </c>
      <c r="G176" s="2276">
        <v>100000</v>
      </c>
      <c r="H176" s="2277" t="s">
        <v>817</v>
      </c>
      <c r="I176" s="2278">
        <v>12</v>
      </c>
      <c r="J176" s="2277"/>
      <c r="K176" s="2278"/>
      <c r="L176" s="2279"/>
      <c r="M176" s="2278"/>
      <c r="N176" s="2280"/>
      <c r="O176" s="2280" t="s">
        <v>913</v>
      </c>
      <c r="P176" s="2281">
        <f t="shared" si="86"/>
        <v>1200000</v>
      </c>
      <c r="Q176" s="694"/>
      <c r="R176" s="694"/>
      <c r="S176" s="695"/>
      <c r="T176" s="696"/>
    </row>
    <row r="177" spans="1:22" ht="14.45" customHeight="1">
      <c r="A177" s="778"/>
      <c r="B177" s="786"/>
      <c r="C177" s="792"/>
      <c r="D177" s="786"/>
      <c r="E177" s="3306"/>
      <c r="F177" s="1509" t="s">
        <v>1492</v>
      </c>
      <c r="G177" s="2276">
        <v>42500000</v>
      </c>
      <c r="H177" s="2277" t="s">
        <v>817</v>
      </c>
      <c r="I177" s="2326">
        <v>8.0000000000000002E-3</v>
      </c>
      <c r="J177" s="2277"/>
      <c r="K177" s="2278"/>
      <c r="L177" s="2279"/>
      <c r="M177" s="2278"/>
      <c r="N177" s="2280"/>
      <c r="O177" s="2280" t="s">
        <v>913</v>
      </c>
      <c r="P177" s="2281">
        <f t="shared" si="86"/>
        <v>340000</v>
      </c>
      <c r="Q177" s="694"/>
      <c r="R177" s="694"/>
      <c r="S177" s="695"/>
      <c r="T177" s="696"/>
    </row>
    <row r="178" spans="1:22" ht="14.45" customHeight="1">
      <c r="A178" s="778"/>
      <c r="B178" s="786"/>
      <c r="C178" s="792"/>
      <c r="D178" s="786"/>
      <c r="E178" s="3306"/>
      <c r="F178" s="1509" t="s">
        <v>1493</v>
      </c>
      <c r="G178" s="2276">
        <v>200000</v>
      </c>
      <c r="H178" s="2277" t="s">
        <v>912</v>
      </c>
      <c r="I178" s="2278">
        <v>5</v>
      </c>
      <c r="J178" s="2277"/>
      <c r="K178" s="2278"/>
      <c r="L178" s="2279"/>
      <c r="M178" s="2278"/>
      <c r="N178" s="2280"/>
      <c r="O178" s="2280" t="s">
        <v>913</v>
      </c>
      <c r="P178" s="2281">
        <f t="shared" si="86"/>
        <v>1000000</v>
      </c>
      <c r="Q178" s="694"/>
      <c r="R178" s="694"/>
      <c r="S178" s="695"/>
      <c r="T178" s="696"/>
    </row>
    <row r="179" spans="1:22" ht="14.45" customHeight="1">
      <c r="A179" s="778"/>
      <c r="B179" s="786"/>
      <c r="C179" s="792"/>
      <c r="D179" s="786"/>
      <c r="E179" s="3306"/>
      <c r="F179" s="1509" t="s">
        <v>1494</v>
      </c>
      <c r="G179" s="2276">
        <v>120000</v>
      </c>
      <c r="H179" s="2277" t="s">
        <v>817</v>
      </c>
      <c r="I179" s="2306">
        <v>2</v>
      </c>
      <c r="J179" s="2277"/>
      <c r="K179" s="2278"/>
      <c r="L179" s="2279"/>
      <c r="M179" s="2278"/>
      <c r="N179" s="2280"/>
      <c r="O179" s="2280" t="s">
        <v>913</v>
      </c>
      <c r="P179" s="2281">
        <f t="shared" si="86"/>
        <v>240000</v>
      </c>
      <c r="Q179" s="694"/>
      <c r="R179" s="694"/>
      <c r="S179" s="695"/>
      <c r="T179" s="696"/>
    </row>
    <row r="180" spans="1:22" ht="14.45" customHeight="1">
      <c r="A180" s="778"/>
      <c r="B180" s="786"/>
      <c r="C180" s="792"/>
      <c r="D180" s="786"/>
      <c r="E180" s="3306"/>
      <c r="F180" s="1509" t="s">
        <v>1495</v>
      </c>
      <c r="G180" s="2276">
        <v>600000</v>
      </c>
      <c r="H180" s="2277" t="s">
        <v>912</v>
      </c>
      <c r="I180" s="2306">
        <v>5</v>
      </c>
      <c r="J180" s="2277"/>
      <c r="K180" s="2278"/>
      <c r="L180" s="2279"/>
      <c r="M180" s="2278"/>
      <c r="N180" s="2280"/>
      <c r="O180" s="2280" t="s">
        <v>913</v>
      </c>
      <c r="P180" s="2281">
        <f t="shared" si="86"/>
        <v>3000000</v>
      </c>
      <c r="Q180" s="694"/>
      <c r="R180" s="694"/>
      <c r="S180" s="695"/>
      <c r="T180" s="696"/>
    </row>
    <row r="181" spans="1:22" ht="14.45" customHeight="1">
      <c r="A181" s="778"/>
      <c r="B181" s="786"/>
      <c r="C181" s="792"/>
      <c r="D181" s="786"/>
      <c r="E181" s="3306"/>
      <c r="F181" s="1509" t="s">
        <v>1496</v>
      </c>
      <c r="G181" s="2276">
        <v>100000</v>
      </c>
      <c r="H181" s="2277" t="s">
        <v>912</v>
      </c>
      <c r="I181" s="2278">
        <v>12</v>
      </c>
      <c r="J181" s="2277"/>
      <c r="K181" s="2278"/>
      <c r="L181" s="2279"/>
      <c r="M181" s="2278"/>
      <c r="N181" s="2280"/>
      <c r="O181" s="2280" t="s">
        <v>820</v>
      </c>
      <c r="P181" s="2281">
        <f t="shared" si="86"/>
        <v>1200000</v>
      </c>
      <c r="Q181" s="694"/>
      <c r="R181" s="694"/>
      <c r="S181" s="695"/>
      <c r="T181" s="696"/>
    </row>
    <row r="182" spans="1:22" ht="14.45" customHeight="1">
      <c r="A182" s="778"/>
      <c r="B182" s="786"/>
      <c r="C182" s="792"/>
      <c r="D182" s="786"/>
      <c r="E182" s="3306"/>
      <c r="F182" s="1509" t="s">
        <v>1497</v>
      </c>
      <c r="G182" s="2276">
        <v>500000</v>
      </c>
      <c r="H182" s="2277" t="s">
        <v>912</v>
      </c>
      <c r="I182" s="2306">
        <v>1</v>
      </c>
      <c r="J182" s="2277"/>
      <c r="K182" s="2278"/>
      <c r="L182" s="2279"/>
      <c r="M182" s="2278"/>
      <c r="N182" s="2280"/>
      <c r="O182" s="2280" t="s">
        <v>820</v>
      </c>
      <c r="P182" s="2281">
        <f t="shared" si="86"/>
        <v>500000</v>
      </c>
      <c r="Q182" s="694"/>
      <c r="R182" s="694"/>
      <c r="S182" s="695"/>
      <c r="T182" s="696"/>
    </row>
    <row r="183" spans="1:22" ht="14.45" customHeight="1">
      <c r="A183" s="778"/>
      <c r="B183" s="786"/>
      <c r="C183" s="792"/>
      <c r="D183" s="786"/>
      <c r="E183" s="3307"/>
      <c r="F183" s="1507" t="s">
        <v>952</v>
      </c>
      <c r="G183" s="686"/>
      <c r="H183" s="679"/>
      <c r="I183" s="679"/>
      <c r="J183" s="679"/>
      <c r="K183" s="679"/>
      <c r="L183" s="1508"/>
      <c r="M183" s="679"/>
      <c r="N183" s="687"/>
      <c r="O183" s="687"/>
      <c r="P183" s="681">
        <f>SUM(P184:P184)</f>
        <v>13500000</v>
      </c>
      <c r="Q183" s="653">
        <f>P183</f>
        <v>13500000</v>
      </c>
      <c r="R183" s="653">
        <v>0</v>
      </c>
      <c r="S183" s="654">
        <f t="shared" ref="S183" si="87">Q183-R183</f>
        <v>13500000</v>
      </c>
      <c r="T183" s="655"/>
    </row>
    <row r="184" spans="1:22" ht="14.45" customHeight="1">
      <c r="A184" s="778"/>
      <c r="B184" s="786"/>
      <c r="C184" s="792"/>
      <c r="D184" s="786"/>
      <c r="E184" s="3307"/>
      <c r="F184" s="1509" t="s">
        <v>1498</v>
      </c>
      <c r="G184" s="1552">
        <v>1350000</v>
      </c>
      <c r="H184" s="2277" t="s">
        <v>912</v>
      </c>
      <c r="I184" s="2294">
        <v>10</v>
      </c>
      <c r="J184" s="2277"/>
      <c r="K184" s="2278"/>
      <c r="L184" s="2279"/>
      <c r="M184" s="2278"/>
      <c r="N184" s="2280"/>
      <c r="O184" s="2280" t="s">
        <v>1499</v>
      </c>
      <c r="P184" s="2281">
        <f>ROUNDUP(G184*I184,-3)</f>
        <v>13500000</v>
      </c>
      <c r="Q184" s="666"/>
      <c r="R184" s="666"/>
      <c r="S184" s="667"/>
      <c r="T184" s="668"/>
    </row>
    <row r="185" spans="1:22" ht="14.45" customHeight="1">
      <c r="A185" s="778"/>
      <c r="B185" s="786"/>
      <c r="C185" s="792"/>
      <c r="D185" s="786"/>
      <c r="E185" s="3637" t="s">
        <v>3020</v>
      </c>
      <c r="F185" s="3638"/>
      <c r="G185" s="3638"/>
      <c r="H185" s="3638"/>
      <c r="I185" s="3638"/>
      <c r="J185" s="3638"/>
      <c r="K185" s="3638"/>
      <c r="L185" s="3638"/>
      <c r="M185" s="3638"/>
      <c r="N185" s="3638"/>
      <c r="O185" s="3638"/>
      <c r="P185" s="3639"/>
      <c r="Q185" s="645">
        <f>P186</f>
        <v>7500000</v>
      </c>
      <c r="R185" s="645">
        <f>R186</f>
        <v>0</v>
      </c>
      <c r="S185" s="646">
        <f>Q185-R185</f>
        <v>7500000</v>
      </c>
      <c r="T185" s="647"/>
    </row>
    <row r="186" spans="1:22" ht="14.45" customHeight="1">
      <c r="A186" s="778"/>
      <c r="B186" s="786"/>
      <c r="C186" s="792"/>
      <c r="D186" s="786"/>
      <c r="E186" s="1143"/>
      <c r="F186" s="1507" t="s">
        <v>1500</v>
      </c>
      <c r="G186" s="686"/>
      <c r="H186" s="679"/>
      <c r="I186" s="679"/>
      <c r="J186" s="679"/>
      <c r="K186" s="679"/>
      <c r="L186" s="1508"/>
      <c r="M186" s="679"/>
      <c r="N186" s="687"/>
      <c r="O186" s="687"/>
      <c r="P186" s="681">
        <f>SUM(P187:P191)</f>
        <v>7500000</v>
      </c>
      <c r="Q186" s="653">
        <f>P186</f>
        <v>7500000</v>
      </c>
      <c r="R186" s="653">
        <v>0</v>
      </c>
      <c r="S186" s="654">
        <f t="shared" ref="S186" si="88">Q186-R186</f>
        <v>7500000</v>
      </c>
      <c r="T186" s="655"/>
      <c r="V186" s="1160"/>
    </row>
    <row r="187" spans="1:22" ht="14.45" customHeight="1">
      <c r="A187" s="778"/>
      <c r="B187" s="786"/>
      <c r="C187" s="792"/>
      <c r="D187" s="786"/>
      <c r="E187" s="1143"/>
      <c r="F187" s="1509" t="s">
        <v>1501</v>
      </c>
      <c r="G187" s="702">
        <v>4000000</v>
      </c>
      <c r="H187" s="2277" t="s">
        <v>912</v>
      </c>
      <c r="I187" s="2306">
        <v>1</v>
      </c>
      <c r="J187" s="2277"/>
      <c r="K187" s="2278"/>
      <c r="L187" s="2279"/>
      <c r="M187" s="2278"/>
      <c r="N187" s="2280"/>
      <c r="O187" s="2280" t="s">
        <v>913</v>
      </c>
      <c r="P187" s="2281">
        <f>ROUNDUP(G187*I187,-3)</f>
        <v>4000000</v>
      </c>
      <c r="Q187" s="694"/>
      <c r="R187" s="694"/>
      <c r="S187" s="695"/>
      <c r="T187" s="696"/>
    </row>
    <row r="188" spans="1:22" ht="14.45" customHeight="1">
      <c r="A188" s="778"/>
      <c r="B188" s="786"/>
      <c r="C188" s="792"/>
      <c r="D188" s="786"/>
      <c r="E188" s="1143"/>
      <c r="F188" s="1509" t="s">
        <v>1502</v>
      </c>
      <c r="G188" s="702">
        <v>1500000</v>
      </c>
      <c r="H188" s="2277" t="s">
        <v>912</v>
      </c>
      <c r="I188" s="2306">
        <v>1</v>
      </c>
      <c r="J188" s="2277"/>
      <c r="K188" s="2278"/>
      <c r="L188" s="2279"/>
      <c r="M188" s="2278"/>
      <c r="N188" s="2280"/>
      <c r="O188" s="2280" t="s">
        <v>913</v>
      </c>
      <c r="P188" s="2281">
        <f>ROUNDUP(G188*I188,-3)</f>
        <v>1500000</v>
      </c>
      <c r="Q188" s="694"/>
      <c r="R188" s="694"/>
      <c r="S188" s="695"/>
      <c r="T188" s="696"/>
    </row>
    <row r="189" spans="1:22" ht="14.45" customHeight="1">
      <c r="A189" s="778"/>
      <c r="B189" s="786"/>
      <c r="C189" s="792"/>
      <c r="D189" s="786"/>
      <c r="E189" s="1143"/>
      <c r="F189" s="1509" t="s">
        <v>1503</v>
      </c>
      <c r="G189" s="702">
        <v>500000</v>
      </c>
      <c r="H189" s="2277" t="s">
        <v>912</v>
      </c>
      <c r="I189" s="2295">
        <v>1</v>
      </c>
      <c r="J189" s="2277"/>
      <c r="K189" s="2278"/>
      <c r="L189" s="2279"/>
      <c r="M189" s="2278"/>
      <c r="N189" s="2280"/>
      <c r="O189" s="2280" t="s">
        <v>913</v>
      </c>
      <c r="P189" s="2281">
        <f>ROUNDUP(G189*I189,-3)</f>
        <v>500000</v>
      </c>
      <c r="Q189" s="694"/>
      <c r="R189" s="694"/>
      <c r="S189" s="695"/>
      <c r="T189" s="696"/>
      <c r="V189" s="1160"/>
    </row>
    <row r="190" spans="1:22" ht="14.45" customHeight="1">
      <c r="A190" s="1130"/>
      <c r="B190" s="846"/>
      <c r="C190" s="780"/>
      <c r="D190" s="846"/>
      <c r="E190" s="3318"/>
      <c r="F190" s="2323" t="s">
        <v>1276</v>
      </c>
      <c r="G190" s="711">
        <v>250000</v>
      </c>
      <c r="H190" s="2310" t="s">
        <v>912</v>
      </c>
      <c r="I190" s="2324">
        <v>2</v>
      </c>
      <c r="J190" s="2310"/>
      <c r="K190" s="2311"/>
      <c r="L190" s="2312"/>
      <c r="M190" s="2311"/>
      <c r="N190" s="2313"/>
      <c r="O190" s="2313" t="s">
        <v>913</v>
      </c>
      <c r="P190" s="2314">
        <f>ROUNDUP(G190*I190,-3)</f>
        <v>500000</v>
      </c>
      <c r="Q190" s="712"/>
      <c r="R190" s="712"/>
      <c r="S190" s="713"/>
      <c r="T190" s="714"/>
    </row>
    <row r="191" spans="1:22" ht="14.45" customHeight="1">
      <c r="A191" s="778"/>
      <c r="B191" s="786"/>
      <c r="C191" s="792"/>
      <c r="D191" s="786"/>
      <c r="E191" s="1143"/>
      <c r="F191" s="1509" t="s">
        <v>1495</v>
      </c>
      <c r="G191" s="702">
        <v>200000</v>
      </c>
      <c r="H191" s="2277" t="s">
        <v>912</v>
      </c>
      <c r="I191" s="2295">
        <v>5</v>
      </c>
      <c r="J191" s="2277"/>
      <c r="K191" s="2278"/>
      <c r="L191" s="2279"/>
      <c r="M191" s="2278"/>
      <c r="N191" s="2280"/>
      <c r="O191" s="2280" t="s">
        <v>913</v>
      </c>
      <c r="P191" s="2281">
        <f>ROUNDUP(G191*I191,-3)</f>
        <v>1000000</v>
      </c>
      <c r="Q191" s="694"/>
      <c r="R191" s="2327"/>
      <c r="S191" s="695"/>
      <c r="T191" s="696"/>
    </row>
    <row r="192" spans="1:22" s="1137" customFormat="1" ht="15" customHeight="1">
      <c r="A192" s="1166"/>
      <c r="B192" s="1139"/>
      <c r="C192" s="1346"/>
      <c r="D192" s="1139"/>
      <c r="E192" s="3637" t="s">
        <v>3094</v>
      </c>
      <c r="F192" s="3638"/>
      <c r="G192" s="3638"/>
      <c r="H192" s="3638"/>
      <c r="I192" s="3638"/>
      <c r="J192" s="3638"/>
      <c r="K192" s="3638"/>
      <c r="L192" s="3638"/>
      <c r="M192" s="3638"/>
      <c r="N192" s="3638"/>
      <c r="O192" s="3638"/>
      <c r="P192" s="3639"/>
      <c r="Q192" s="1154">
        <f>P193+P196</f>
        <v>32032000</v>
      </c>
      <c r="R192" s="2328">
        <f>SUM(R193:R200)</f>
        <v>44200000</v>
      </c>
      <c r="S192" s="1155">
        <f>Q192-R192</f>
        <v>-12168000</v>
      </c>
      <c r="T192" s="1288">
        <f>S192/R192</f>
        <v>-0.2752941176470588</v>
      </c>
    </row>
    <row r="193" spans="1:22" s="1137" customFormat="1" ht="15" customHeight="1">
      <c r="A193" s="1166"/>
      <c r="B193" s="1139"/>
      <c r="C193" s="1346"/>
      <c r="D193" s="1139"/>
      <c r="E193" s="1143"/>
      <c r="F193" s="1507" t="s">
        <v>1504</v>
      </c>
      <c r="G193" s="686"/>
      <c r="H193" s="679"/>
      <c r="I193" s="679"/>
      <c r="J193" s="679"/>
      <c r="K193" s="679"/>
      <c r="L193" s="1508"/>
      <c r="M193" s="679"/>
      <c r="N193" s="687"/>
      <c r="O193" s="687"/>
      <c r="P193" s="681">
        <f>SUM(P194:P195)</f>
        <v>30532000</v>
      </c>
      <c r="Q193" s="653">
        <f>P193</f>
        <v>30532000</v>
      </c>
      <c r="R193" s="653">
        <v>34200000</v>
      </c>
      <c r="S193" s="654">
        <f t="shared" ref="S193" si="89">Q193-R193</f>
        <v>-3668000</v>
      </c>
      <c r="T193" s="655">
        <f t="shared" ref="T193" si="90">S193/R193</f>
        <v>-0.1072514619883041</v>
      </c>
      <c r="V193" s="2329"/>
    </row>
    <row r="194" spans="1:22" s="1137" customFormat="1" ht="15" customHeight="1">
      <c r="A194" s="1166"/>
      <c r="B194" s="1139"/>
      <c r="C194" s="1346"/>
      <c r="D194" s="1139"/>
      <c r="E194" s="1143"/>
      <c r="F194" s="1509" t="s">
        <v>1505</v>
      </c>
      <c r="G194" s="702">
        <v>50320000</v>
      </c>
      <c r="H194" s="2277" t="s">
        <v>810</v>
      </c>
      <c r="I194" s="2325">
        <v>0.6</v>
      </c>
      <c r="J194" s="2277"/>
      <c r="K194" s="2278"/>
      <c r="L194" s="2279"/>
      <c r="M194" s="2278"/>
      <c r="N194" s="2280"/>
      <c r="O194" s="2280" t="s">
        <v>811</v>
      </c>
      <c r="P194" s="2281">
        <f t="shared" ref="P194:P195" si="91">ROUNDUP(G194*I194,-3)</f>
        <v>30192000</v>
      </c>
      <c r="Q194" s="694"/>
      <c r="R194" s="694"/>
      <c r="S194" s="695"/>
      <c r="T194" s="696"/>
    </row>
    <row r="195" spans="1:22" s="1137" customFormat="1" ht="15" customHeight="1">
      <c r="A195" s="1166"/>
      <c r="B195" s="1139"/>
      <c r="C195" s="1346"/>
      <c r="D195" s="1139"/>
      <c r="E195" s="1143"/>
      <c r="F195" s="1509" t="s">
        <v>1506</v>
      </c>
      <c r="G195" s="2276">
        <v>42500000</v>
      </c>
      <c r="H195" s="2277" t="s">
        <v>1507</v>
      </c>
      <c r="I195" s="2326">
        <v>8.0000000000000002E-3</v>
      </c>
      <c r="J195" s="2277"/>
      <c r="K195" s="2278"/>
      <c r="L195" s="2279"/>
      <c r="M195" s="2278"/>
      <c r="N195" s="2280"/>
      <c r="O195" s="2280" t="s">
        <v>811</v>
      </c>
      <c r="P195" s="2281">
        <f t="shared" si="91"/>
        <v>340000</v>
      </c>
      <c r="Q195" s="694"/>
      <c r="R195" s="694"/>
      <c r="S195" s="695"/>
      <c r="T195" s="696"/>
    </row>
    <row r="196" spans="1:22" s="1137" customFormat="1" ht="15" customHeight="1">
      <c r="A196" s="1166"/>
      <c r="B196" s="1139"/>
      <c r="C196" s="1346"/>
      <c r="D196" s="1139"/>
      <c r="E196" s="1143"/>
      <c r="F196" s="1507" t="s">
        <v>1508</v>
      </c>
      <c r="G196" s="686"/>
      <c r="H196" s="679"/>
      <c r="I196" s="679"/>
      <c r="J196" s="679"/>
      <c r="K196" s="679"/>
      <c r="L196" s="1508"/>
      <c r="M196" s="679"/>
      <c r="N196" s="687"/>
      <c r="O196" s="687"/>
      <c r="P196" s="681">
        <f>SUM(P197:P198)</f>
        <v>1500000</v>
      </c>
      <c r="Q196" s="653">
        <f>P196</f>
        <v>1500000</v>
      </c>
      <c r="R196" s="653">
        <v>0</v>
      </c>
      <c r="S196" s="654">
        <f t="shared" ref="S196" si="92">Q196-R196</f>
        <v>1500000</v>
      </c>
      <c r="T196" s="655"/>
    </row>
    <row r="197" spans="1:22" s="1137" customFormat="1" ht="15" customHeight="1">
      <c r="A197" s="1166"/>
      <c r="B197" s="1139"/>
      <c r="C197" s="1346"/>
      <c r="D197" s="1139"/>
      <c r="E197" s="1143"/>
      <c r="F197" s="1509" t="s">
        <v>1509</v>
      </c>
      <c r="G197" s="702">
        <v>1000000</v>
      </c>
      <c r="H197" s="2277" t="s">
        <v>1262</v>
      </c>
      <c r="I197" s="2306">
        <v>1</v>
      </c>
      <c r="J197" s="2277"/>
      <c r="K197" s="2278"/>
      <c r="L197" s="2279"/>
      <c r="M197" s="2278"/>
      <c r="N197" s="2280"/>
      <c r="O197" s="2280" t="s">
        <v>820</v>
      </c>
      <c r="P197" s="2281">
        <f>ROUNDUP(G197*I197,-3)</f>
        <v>1000000</v>
      </c>
      <c r="Q197" s="694"/>
      <c r="R197" s="2327"/>
      <c r="S197" s="695"/>
      <c r="T197" s="696"/>
    </row>
    <row r="198" spans="1:22" s="1137" customFormat="1" ht="15" customHeight="1">
      <c r="A198" s="1166"/>
      <c r="B198" s="1139"/>
      <c r="C198" s="1346"/>
      <c r="D198" s="1139"/>
      <c r="E198" s="1143"/>
      <c r="F198" s="1509" t="s">
        <v>1169</v>
      </c>
      <c r="G198" s="702">
        <v>500000</v>
      </c>
      <c r="H198" s="2277" t="s">
        <v>1507</v>
      </c>
      <c r="I198" s="2306">
        <v>1</v>
      </c>
      <c r="J198" s="2277"/>
      <c r="K198" s="2278"/>
      <c r="L198" s="2279"/>
      <c r="M198" s="2278"/>
      <c r="N198" s="2280"/>
      <c r="O198" s="2280" t="s">
        <v>811</v>
      </c>
      <c r="P198" s="2281">
        <f>ROUNDUP(G198*I198,-3)</f>
        <v>500000</v>
      </c>
      <c r="Q198" s="694"/>
      <c r="R198" s="2327"/>
      <c r="S198" s="695"/>
      <c r="T198" s="696"/>
    </row>
    <row r="199" spans="1:22" s="1137" customFormat="1" ht="15" customHeight="1">
      <c r="A199" s="1166"/>
      <c r="B199" s="1139"/>
      <c r="C199" s="1346"/>
      <c r="D199" s="1139"/>
      <c r="E199" s="1139"/>
      <c r="F199" s="1507" t="s">
        <v>2892</v>
      </c>
      <c r="G199" s="686"/>
      <c r="H199" s="679"/>
      <c r="I199" s="679"/>
      <c r="J199" s="679"/>
      <c r="K199" s="679"/>
      <c r="L199" s="1508"/>
      <c r="M199" s="679"/>
      <c r="N199" s="687"/>
      <c r="O199" s="687"/>
      <c r="P199" s="681"/>
      <c r="Q199" s="653">
        <f>P199</f>
        <v>0</v>
      </c>
      <c r="R199" s="653">
        <v>2000000</v>
      </c>
      <c r="S199" s="654">
        <f t="shared" ref="S199:S200" si="93">Q199-R199</f>
        <v>-2000000</v>
      </c>
      <c r="T199" s="655">
        <f t="shared" ref="T199:T200" si="94">S199/R199</f>
        <v>-1</v>
      </c>
    </row>
    <row r="200" spans="1:22" s="1137" customFormat="1" ht="15" customHeight="1">
      <c r="A200" s="1166"/>
      <c r="B200" s="1139"/>
      <c r="C200" s="1135"/>
      <c r="D200" s="1296"/>
      <c r="E200" s="1296"/>
      <c r="F200" s="1574" t="s">
        <v>2891</v>
      </c>
      <c r="G200" s="1575"/>
      <c r="H200" s="1576"/>
      <c r="I200" s="1576"/>
      <c r="J200" s="1576"/>
      <c r="K200" s="1576"/>
      <c r="L200" s="1577"/>
      <c r="M200" s="1576"/>
      <c r="N200" s="1578"/>
      <c r="O200" s="1578"/>
      <c r="P200" s="1579"/>
      <c r="Q200" s="683">
        <f>P200</f>
        <v>0</v>
      </c>
      <c r="R200" s="683">
        <v>8000000</v>
      </c>
      <c r="S200" s="1489">
        <f t="shared" si="93"/>
        <v>-8000000</v>
      </c>
      <c r="T200" s="1490">
        <f t="shared" si="94"/>
        <v>-1</v>
      </c>
    </row>
    <row r="201" spans="1:22" ht="14.45" customHeight="1">
      <c r="A201" s="778"/>
      <c r="B201" s="786"/>
      <c r="C201" s="3685" t="s">
        <v>259</v>
      </c>
      <c r="D201" s="3686"/>
      <c r="E201" s="3686"/>
      <c r="F201" s="3686"/>
      <c r="G201" s="3686"/>
      <c r="H201" s="3686"/>
      <c r="I201" s="3686"/>
      <c r="J201" s="3686"/>
      <c r="K201" s="3686"/>
      <c r="L201" s="3686"/>
      <c r="M201" s="3686"/>
      <c r="N201" s="3686"/>
      <c r="O201" s="3686"/>
      <c r="P201" s="3687"/>
      <c r="Q201" s="866">
        <f>Q202</f>
        <v>430000</v>
      </c>
      <c r="R201" s="866">
        <f>R202</f>
        <v>664000</v>
      </c>
      <c r="S201" s="924">
        <f>Q201-R201</f>
        <v>-234000</v>
      </c>
      <c r="T201" s="925">
        <f t="shared" ref="T201:T204" si="95">S201/R201</f>
        <v>-0.35240963855421686</v>
      </c>
    </row>
    <row r="202" spans="1:22" ht="14.45" customHeight="1">
      <c r="A202" s="778"/>
      <c r="B202" s="786"/>
      <c r="C202" s="786"/>
      <c r="D202" s="684" t="s">
        <v>321</v>
      </c>
      <c r="E202" s="2229"/>
      <c r="F202" s="1269"/>
      <c r="G202" s="636"/>
      <c r="H202" s="635"/>
      <c r="I202" s="635"/>
      <c r="J202" s="635"/>
      <c r="K202" s="635"/>
      <c r="L202" s="1268"/>
      <c r="M202" s="635"/>
      <c r="N202" s="637"/>
      <c r="O202" s="637"/>
      <c r="P202" s="635"/>
      <c r="Q202" s="638">
        <f>Q203</f>
        <v>430000</v>
      </c>
      <c r="R202" s="638">
        <f>R203</f>
        <v>664000</v>
      </c>
      <c r="S202" s="639">
        <f>Q202-R202</f>
        <v>-234000</v>
      </c>
      <c r="T202" s="640">
        <f t="shared" si="95"/>
        <v>-0.35240963855421686</v>
      </c>
    </row>
    <row r="203" spans="1:22" ht="14.45" customHeight="1">
      <c r="A203" s="778"/>
      <c r="B203" s="786"/>
      <c r="C203" s="786"/>
      <c r="D203" s="786"/>
      <c r="E203" s="3637" t="s">
        <v>2863</v>
      </c>
      <c r="F203" s="3638"/>
      <c r="G203" s="3638"/>
      <c r="H203" s="3638"/>
      <c r="I203" s="3638"/>
      <c r="J203" s="3638"/>
      <c r="K203" s="3638"/>
      <c r="L203" s="3638"/>
      <c r="M203" s="3638"/>
      <c r="N203" s="3638"/>
      <c r="O203" s="3638"/>
      <c r="P203" s="3639"/>
      <c r="Q203" s="645">
        <f>ROUNDUP(P204+P206,-3)</f>
        <v>430000</v>
      </c>
      <c r="R203" s="645">
        <v>664000</v>
      </c>
      <c r="S203" s="646">
        <f>Q203-R203</f>
        <v>-234000</v>
      </c>
      <c r="T203" s="647">
        <f t="shared" si="95"/>
        <v>-0.35240963855421686</v>
      </c>
    </row>
    <row r="204" spans="1:22" ht="14.45" customHeight="1">
      <c r="A204" s="778"/>
      <c r="B204" s="786"/>
      <c r="C204" s="786"/>
      <c r="D204" s="786"/>
      <c r="E204" s="3361"/>
      <c r="F204" s="1507" t="s">
        <v>1510</v>
      </c>
      <c r="G204" s="686"/>
      <c r="H204" s="679"/>
      <c r="I204" s="679"/>
      <c r="J204" s="679"/>
      <c r="K204" s="679"/>
      <c r="L204" s="1508"/>
      <c r="M204" s="679"/>
      <c r="N204" s="687"/>
      <c r="O204" s="687"/>
      <c r="P204" s="681">
        <f>P205</f>
        <v>70000</v>
      </c>
      <c r="Q204" s="653">
        <f>P204</f>
        <v>70000</v>
      </c>
      <c r="R204" s="653">
        <v>100000</v>
      </c>
      <c r="S204" s="654">
        <f t="shared" ref="S204" si="96">Q204-R204</f>
        <v>-30000</v>
      </c>
      <c r="T204" s="655">
        <f t="shared" si="95"/>
        <v>-0.3</v>
      </c>
    </row>
    <row r="205" spans="1:22" ht="14.45" customHeight="1">
      <c r="A205" s="778"/>
      <c r="B205" s="786"/>
      <c r="C205" s="786"/>
      <c r="D205" s="786"/>
      <c r="E205" s="3359"/>
      <c r="F205" s="2330" t="s">
        <v>1511</v>
      </c>
      <c r="G205" s="698">
        <v>70000</v>
      </c>
      <c r="H205" s="699" t="s">
        <v>51</v>
      </c>
      <c r="I205" s="727">
        <v>1</v>
      </c>
      <c r="J205" s="699"/>
      <c r="K205" s="2239"/>
      <c r="L205" s="699"/>
      <c r="M205" s="699"/>
      <c r="N205" s="728"/>
      <c r="O205" s="728" t="s">
        <v>32</v>
      </c>
      <c r="P205" s="2241">
        <f>G205*I205</f>
        <v>70000</v>
      </c>
      <c r="Q205" s="2331"/>
      <c r="R205" s="2332"/>
      <c r="S205" s="2333"/>
      <c r="T205" s="2334"/>
    </row>
    <row r="206" spans="1:22" ht="14.45" customHeight="1">
      <c r="A206" s="778"/>
      <c r="B206" s="786"/>
      <c r="C206" s="786"/>
      <c r="D206" s="786"/>
      <c r="E206" s="3359"/>
      <c r="F206" s="1507" t="s">
        <v>1512</v>
      </c>
      <c r="G206" s="686"/>
      <c r="H206" s="679"/>
      <c r="I206" s="679"/>
      <c r="J206" s="679"/>
      <c r="K206" s="679"/>
      <c r="L206" s="1508"/>
      <c r="M206" s="679"/>
      <c r="N206" s="687"/>
      <c r="O206" s="687"/>
      <c r="P206" s="681">
        <f>P207</f>
        <v>360000</v>
      </c>
      <c r="Q206" s="653">
        <f>P206</f>
        <v>360000</v>
      </c>
      <c r="R206" s="653">
        <v>564000</v>
      </c>
      <c r="S206" s="654">
        <f t="shared" ref="S206" si="97">Q206-R206</f>
        <v>-204000</v>
      </c>
      <c r="T206" s="655">
        <f t="shared" ref="T206" si="98">S206/R206</f>
        <v>-0.36170212765957449</v>
      </c>
    </row>
    <row r="207" spans="1:22" ht="14.45" customHeight="1" thickBot="1">
      <c r="A207" s="898"/>
      <c r="B207" s="899"/>
      <c r="C207" s="899"/>
      <c r="D207" s="899"/>
      <c r="E207" s="3362"/>
      <c r="F207" s="2335" t="s">
        <v>437</v>
      </c>
      <c r="G207" s="2336">
        <v>360000</v>
      </c>
      <c r="H207" s="2337" t="s">
        <v>1513</v>
      </c>
      <c r="I207" s="2338">
        <v>1</v>
      </c>
      <c r="J207" s="2337"/>
      <c r="K207" s="2339"/>
      <c r="L207" s="2337"/>
      <c r="M207" s="2337"/>
      <c r="N207" s="2340"/>
      <c r="O207" s="2340" t="s">
        <v>985</v>
      </c>
      <c r="P207" s="2341">
        <f>G207*I207</f>
        <v>360000</v>
      </c>
      <c r="Q207" s="2342"/>
      <c r="R207" s="2343"/>
      <c r="S207" s="2344"/>
      <c r="T207" s="2345"/>
    </row>
    <row r="208" spans="1:22" ht="14.45" customHeight="1">
      <c r="R208" s="842"/>
    </row>
    <row r="209" spans="18:18">
      <c r="R209" s="842"/>
    </row>
    <row r="210" spans="18:18">
      <c r="R210" s="842"/>
    </row>
  </sheetData>
  <mergeCells count="49">
    <mergeCell ref="I21:J21"/>
    <mergeCell ref="A1:T1"/>
    <mergeCell ref="S2:T2"/>
    <mergeCell ref="A3:E3"/>
    <mergeCell ref="G3:P4"/>
    <mergeCell ref="Q3:Q4"/>
    <mergeCell ref="R3:R4"/>
    <mergeCell ref="S3:S4"/>
    <mergeCell ref="T3:T4"/>
    <mergeCell ref="E11:P11"/>
    <mergeCell ref="E10:P10"/>
    <mergeCell ref="E9:P9"/>
    <mergeCell ref="E43:P43"/>
    <mergeCell ref="E40:P40"/>
    <mergeCell ref="E31:P31"/>
    <mergeCell ref="E24:P24"/>
    <mergeCell ref="E22:P22"/>
    <mergeCell ref="K42:L42"/>
    <mergeCell ref="I26:J26"/>
    <mergeCell ref="I27:J27"/>
    <mergeCell ref="I28:J28"/>
    <mergeCell ref="I29:J29"/>
    <mergeCell ref="I30:J30"/>
    <mergeCell ref="E87:P87"/>
    <mergeCell ref="E78:P78"/>
    <mergeCell ref="E55:P55"/>
    <mergeCell ref="E53:P53"/>
    <mergeCell ref="E50:P50"/>
    <mergeCell ref="E121:P121"/>
    <mergeCell ref="E117:P117"/>
    <mergeCell ref="E116:P116"/>
    <mergeCell ref="E112:P112"/>
    <mergeCell ref="E104:P104"/>
    <mergeCell ref="C102:P102"/>
    <mergeCell ref="C201:P201"/>
    <mergeCell ref="C51:P51"/>
    <mergeCell ref="C7:P7"/>
    <mergeCell ref="E203:P203"/>
    <mergeCell ref="E192:P192"/>
    <mergeCell ref="E167:P167"/>
    <mergeCell ref="E185:P185"/>
    <mergeCell ref="E162:P162"/>
    <mergeCell ref="E155:P155"/>
    <mergeCell ref="E150:P150"/>
    <mergeCell ref="E145:P145"/>
    <mergeCell ref="E142:P142"/>
    <mergeCell ref="E138:P138"/>
    <mergeCell ref="E134:P134"/>
    <mergeCell ref="E125:P12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fitToHeight="0" orientation="landscape" r:id="rId1"/>
  <headerFooter scaleWithDoc="0">
    <oddFooter>&amp;C&amp;P</oddFooter>
  </headerFooter>
  <rowBreaks count="1" manualBreakCount="1">
    <brk id="77" max="19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70C0"/>
    <pageSetUpPr fitToPage="1"/>
  </sheetPr>
  <dimension ref="A1:XEM112"/>
  <sheetViews>
    <sheetView view="pageBreakPreview" zoomScaleNormal="85" zoomScaleSheetLayoutView="100" workbookViewId="0">
      <pane ySplit="8" topLeftCell="A66" activePane="bottomLeft" state="frozen"/>
      <selection activeCell="O40" sqref="O39:O40"/>
      <selection pane="bottomLeft" activeCell="D80" sqref="D80"/>
    </sheetView>
  </sheetViews>
  <sheetFormatPr defaultColWidth="9" defaultRowHeight="16.5"/>
  <cols>
    <col min="1" max="1" width="3.625" style="930" customWidth="1"/>
    <col min="2" max="4" width="3.625" style="962" customWidth="1"/>
    <col min="5" max="5" width="10.625" style="725" customWidth="1"/>
    <col min="6" max="6" width="31.375" style="2221" customWidth="1"/>
    <col min="7" max="7" width="12.625" style="963" bestFit="1" customWidth="1"/>
    <col min="8" max="8" width="2.125" style="930" customWidth="1"/>
    <col min="9" max="9" width="7" style="930" customWidth="1"/>
    <col min="10" max="10" width="3.25" style="930" customWidth="1"/>
    <col min="11" max="11" width="5.875" style="930" customWidth="1"/>
    <col min="12" max="12" width="2.625" style="2222" customWidth="1"/>
    <col min="13" max="13" width="5.375" style="930" customWidth="1"/>
    <col min="14" max="14" width="2.75" style="964" customWidth="1"/>
    <col min="15" max="15" width="2.625" style="964" customWidth="1"/>
    <col min="16" max="16" width="13.625" style="930" customWidth="1"/>
    <col min="17" max="17" width="10.625" style="965" customWidth="1"/>
    <col min="18" max="18" width="10.625" style="966" customWidth="1"/>
    <col min="19" max="19" width="10.625" style="2271" customWidth="1"/>
    <col min="20" max="20" width="10.625" style="2272" customWidth="1"/>
    <col min="21" max="21" width="9" style="930"/>
    <col min="22" max="22" width="10.75" style="930" bestFit="1" customWidth="1"/>
    <col min="23" max="23" width="12" style="930" bestFit="1" customWidth="1"/>
    <col min="24" max="16366" width="9" style="930"/>
    <col min="16367" max="16367" width="9.125" style="930" bestFit="1" customWidth="1"/>
    <col min="16368" max="16384" width="9" style="930"/>
  </cols>
  <sheetData>
    <row r="1" spans="1:23" ht="35.1" customHeight="1">
      <c r="A1" s="3679" t="s">
        <v>2099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  <c r="T1" s="3785"/>
    </row>
    <row r="2" spans="1:23" ht="15" customHeight="1" thickBot="1">
      <c r="A2" s="930" t="s">
        <v>343</v>
      </c>
      <c r="E2" s="719"/>
      <c r="S2" s="3661" t="s">
        <v>344</v>
      </c>
      <c r="T2" s="3661"/>
    </row>
    <row r="3" spans="1:23" s="964" customFormat="1" ht="15" customHeight="1">
      <c r="A3" s="3743" t="s">
        <v>2</v>
      </c>
      <c r="B3" s="3644"/>
      <c r="C3" s="3644"/>
      <c r="D3" s="3644"/>
      <c r="E3" s="3644"/>
      <c r="F3" s="1258"/>
      <c r="G3" s="3645" t="s">
        <v>3</v>
      </c>
      <c r="H3" s="3645"/>
      <c r="I3" s="3645"/>
      <c r="J3" s="3645"/>
      <c r="K3" s="3645"/>
      <c r="L3" s="3645"/>
      <c r="M3" s="3645"/>
      <c r="N3" s="3645"/>
      <c r="O3" s="3645"/>
      <c r="P3" s="3646"/>
      <c r="Q3" s="3649" t="s">
        <v>4</v>
      </c>
      <c r="R3" s="3651" t="s">
        <v>326</v>
      </c>
      <c r="S3" s="3746" t="s">
        <v>5</v>
      </c>
      <c r="T3" s="3655" t="s">
        <v>6</v>
      </c>
    </row>
    <row r="4" spans="1:23" s="964" customFormat="1" ht="15" customHeight="1" thickBot="1">
      <c r="A4" s="502" t="s">
        <v>7</v>
      </c>
      <c r="B4" s="503" t="s">
        <v>8</v>
      </c>
      <c r="C4" s="503" t="s">
        <v>9</v>
      </c>
      <c r="D4" s="503" t="s">
        <v>10</v>
      </c>
      <c r="E4" s="503" t="s">
        <v>11</v>
      </c>
      <c r="F4" s="1259" t="s">
        <v>12</v>
      </c>
      <c r="G4" s="3647"/>
      <c r="H4" s="3647"/>
      <c r="I4" s="3647"/>
      <c r="J4" s="3647"/>
      <c r="K4" s="3647"/>
      <c r="L4" s="3647"/>
      <c r="M4" s="3647"/>
      <c r="N4" s="3647"/>
      <c r="O4" s="3647"/>
      <c r="P4" s="3648"/>
      <c r="Q4" s="3650"/>
      <c r="R4" s="3652"/>
      <c r="S4" s="3747"/>
      <c r="T4" s="3656"/>
    </row>
    <row r="5" spans="1:23" s="962" customFormat="1" ht="15" customHeight="1" thickBot="1">
      <c r="A5" s="1260" t="s">
        <v>345</v>
      </c>
      <c r="B5" s="1261"/>
      <c r="C5" s="1261"/>
      <c r="D5" s="1261"/>
      <c r="E5" s="1261"/>
      <c r="F5" s="1262"/>
      <c r="G5" s="612"/>
      <c r="H5" s="611"/>
      <c r="I5" s="611"/>
      <c r="J5" s="611"/>
      <c r="K5" s="611"/>
      <c r="L5" s="1263"/>
      <c r="M5" s="611"/>
      <c r="N5" s="613"/>
      <c r="O5" s="613"/>
      <c r="P5" s="611"/>
      <c r="Q5" s="614">
        <f>Q6</f>
        <v>16051000</v>
      </c>
      <c r="R5" s="614">
        <f>R6</f>
        <v>106242000</v>
      </c>
      <c r="S5" s="793">
        <f t="shared" ref="S5:S14" si="0">Q5-R5</f>
        <v>-90191000</v>
      </c>
      <c r="T5" s="873">
        <f t="shared" ref="T5:T14" si="1">S5/R5</f>
        <v>-0.84892038929990021</v>
      </c>
      <c r="V5" s="962">
        <v>16051000</v>
      </c>
      <c r="W5" s="962">
        <v>106242000</v>
      </c>
    </row>
    <row r="6" spans="1:23" ht="15" customHeight="1">
      <c r="A6" s="617"/>
      <c r="B6" s="618" t="s">
        <v>346</v>
      </c>
      <c r="C6" s="619"/>
      <c r="D6" s="619"/>
      <c r="E6" s="619"/>
      <c r="F6" s="2223"/>
      <c r="G6" s="939"/>
      <c r="H6" s="619"/>
      <c r="I6" s="619"/>
      <c r="J6" s="619"/>
      <c r="K6" s="619"/>
      <c r="L6" s="2224"/>
      <c r="M6" s="619"/>
      <c r="N6" s="940"/>
      <c r="O6" s="940"/>
      <c r="P6" s="619"/>
      <c r="Q6" s="941">
        <f>SUM(Q7,Q58,Q76,Q82)</f>
        <v>16051000</v>
      </c>
      <c r="R6" s="941">
        <f>SUM(R7,R58,R76,R82)</f>
        <v>106242000</v>
      </c>
      <c r="S6" s="942">
        <f t="shared" si="0"/>
        <v>-90191000</v>
      </c>
      <c r="T6" s="2225">
        <f t="shared" si="1"/>
        <v>-0.84892038929990021</v>
      </c>
      <c r="V6" s="1651">
        <f>Q5-V5</f>
        <v>0</v>
      </c>
      <c r="W6" s="1651">
        <f>R5-W5</f>
        <v>0</v>
      </c>
    </row>
    <row r="7" spans="1:23" ht="15" customHeight="1">
      <c r="A7" s="617"/>
      <c r="B7" s="626"/>
      <c r="C7" s="627" t="s">
        <v>347</v>
      </c>
      <c r="D7" s="627"/>
      <c r="E7" s="627"/>
      <c r="F7" s="2088"/>
      <c r="G7" s="944"/>
      <c r="H7" s="627"/>
      <c r="I7" s="627"/>
      <c r="J7" s="627"/>
      <c r="K7" s="627"/>
      <c r="L7" s="2226"/>
      <c r="M7" s="627"/>
      <c r="N7" s="945"/>
      <c r="O7" s="945"/>
      <c r="P7" s="627"/>
      <c r="Q7" s="946">
        <f>Q8+Q13+Q56</f>
        <v>11334000</v>
      </c>
      <c r="R7" s="946">
        <f>R8+R13+R56</f>
        <v>98240000</v>
      </c>
      <c r="S7" s="942">
        <f t="shared" si="0"/>
        <v>-86906000</v>
      </c>
      <c r="T7" s="2225">
        <f t="shared" si="1"/>
        <v>-0.88462947882736154</v>
      </c>
    </row>
    <row r="8" spans="1:23" s="962" customFormat="1" ht="15" customHeight="1">
      <c r="A8" s="973"/>
      <c r="B8" s="632"/>
      <c r="C8" s="719"/>
      <c r="D8" s="1268" t="s">
        <v>348</v>
      </c>
      <c r="E8" s="2229"/>
      <c r="F8" s="1269"/>
      <c r="G8" s="636"/>
      <c r="H8" s="635"/>
      <c r="I8" s="635"/>
      <c r="J8" s="635"/>
      <c r="K8" s="635"/>
      <c r="L8" s="1268"/>
      <c r="M8" s="635"/>
      <c r="N8" s="637"/>
      <c r="O8" s="637"/>
      <c r="P8" s="635"/>
      <c r="Q8" s="638">
        <f>SUM(Q9:Q12)</f>
        <v>0</v>
      </c>
      <c r="R8" s="638">
        <f>SUM(R9:R12)</f>
        <v>46863000</v>
      </c>
      <c r="S8" s="793">
        <f t="shared" si="0"/>
        <v>-46863000</v>
      </c>
      <c r="T8" s="873">
        <f t="shared" si="1"/>
        <v>-1</v>
      </c>
    </row>
    <row r="9" spans="1:23" ht="15" customHeight="1">
      <c r="A9" s="617"/>
      <c r="B9" s="632"/>
      <c r="C9" s="719"/>
      <c r="D9" s="632"/>
      <c r="E9" s="3637" t="s">
        <v>184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8"/>
      <c r="P9" s="3639"/>
      <c r="Q9" s="645">
        <v>0</v>
      </c>
      <c r="R9" s="645">
        <v>21112000</v>
      </c>
      <c r="S9" s="646">
        <f t="shared" si="0"/>
        <v>-21112000</v>
      </c>
      <c r="T9" s="647">
        <f t="shared" si="1"/>
        <v>-1</v>
      </c>
    </row>
    <row r="10" spans="1:23" ht="15" customHeight="1">
      <c r="A10" s="617"/>
      <c r="B10" s="632"/>
      <c r="C10" s="719"/>
      <c r="D10" s="632"/>
      <c r="E10" s="3637" t="s">
        <v>39</v>
      </c>
      <c r="F10" s="3638"/>
      <c r="G10" s="3638"/>
      <c r="H10" s="3638"/>
      <c r="I10" s="3638"/>
      <c r="J10" s="3638"/>
      <c r="K10" s="3638"/>
      <c r="L10" s="3638"/>
      <c r="M10" s="3638"/>
      <c r="N10" s="3638"/>
      <c r="O10" s="3638"/>
      <c r="P10" s="642"/>
      <c r="Q10" s="645">
        <v>0</v>
      </c>
      <c r="R10" s="645">
        <v>12021000</v>
      </c>
      <c r="S10" s="646">
        <f t="shared" si="0"/>
        <v>-12021000</v>
      </c>
      <c r="T10" s="647">
        <f t="shared" si="1"/>
        <v>-1</v>
      </c>
    </row>
    <row r="11" spans="1:23" ht="15" customHeight="1">
      <c r="A11" s="617"/>
      <c r="B11" s="632"/>
      <c r="C11" s="719"/>
      <c r="D11" s="632"/>
      <c r="E11" s="3637" t="s">
        <v>432</v>
      </c>
      <c r="F11" s="3638"/>
      <c r="G11" s="3638"/>
      <c r="H11" s="3638"/>
      <c r="I11" s="3638"/>
      <c r="J11" s="3638"/>
      <c r="K11" s="3638"/>
      <c r="L11" s="3638"/>
      <c r="M11" s="3638"/>
      <c r="N11" s="3638"/>
      <c r="O11" s="3638"/>
      <c r="P11" s="2227"/>
      <c r="Q11" s="645">
        <v>0</v>
      </c>
      <c r="R11" s="645">
        <v>10968000</v>
      </c>
      <c r="S11" s="646">
        <f t="shared" si="0"/>
        <v>-10968000</v>
      </c>
      <c r="T11" s="647">
        <f t="shared" si="1"/>
        <v>-1</v>
      </c>
    </row>
    <row r="12" spans="1:23" ht="15" customHeight="1">
      <c r="A12" s="617"/>
      <c r="B12" s="632"/>
      <c r="C12" s="719"/>
      <c r="D12" s="632"/>
      <c r="E12" s="3637" t="s">
        <v>3109</v>
      </c>
      <c r="F12" s="3638"/>
      <c r="G12" s="3638"/>
      <c r="H12" s="3638"/>
      <c r="I12" s="3638"/>
      <c r="J12" s="3638"/>
      <c r="K12" s="3638"/>
      <c r="L12" s="3638"/>
      <c r="M12" s="3638"/>
      <c r="N12" s="3638"/>
      <c r="O12" s="3638"/>
      <c r="P12" s="2228"/>
      <c r="Q12" s="645">
        <v>0</v>
      </c>
      <c r="R12" s="645">
        <v>2762000</v>
      </c>
      <c r="S12" s="646">
        <f t="shared" si="0"/>
        <v>-2762000</v>
      </c>
      <c r="T12" s="647">
        <f t="shared" si="1"/>
        <v>-1</v>
      </c>
    </row>
    <row r="13" spans="1:23" s="962" customFormat="1" ht="15" customHeight="1">
      <c r="A13" s="973"/>
      <c r="B13" s="632"/>
      <c r="C13" s="719"/>
      <c r="D13" s="635" t="s">
        <v>186</v>
      </c>
      <c r="E13" s="2229"/>
      <c r="F13" s="1269"/>
      <c r="G13" s="636"/>
      <c r="H13" s="635"/>
      <c r="I13" s="635"/>
      <c r="J13" s="635"/>
      <c r="K13" s="635"/>
      <c r="L13" s="1268"/>
      <c r="M13" s="635"/>
      <c r="N13" s="637"/>
      <c r="O13" s="637"/>
      <c r="P13" s="2229"/>
      <c r="Q13" s="638">
        <f>Q14+Q21+Q24+Q27+Q32+Q35+Q39+Q42+Q45+Q49+Q52+Q55</f>
        <v>11334000</v>
      </c>
      <c r="R13" s="638">
        <f>R14+R21+R24+R27+R32+R35+R39+R42+R45+R49+R52+R55</f>
        <v>48377000</v>
      </c>
      <c r="S13" s="793">
        <f t="shared" si="0"/>
        <v>-37043000</v>
      </c>
      <c r="T13" s="873">
        <f t="shared" si="1"/>
        <v>-0.76571511255348612</v>
      </c>
    </row>
    <row r="14" spans="1:23" ht="15" customHeight="1">
      <c r="A14" s="617"/>
      <c r="B14" s="632"/>
      <c r="C14" s="719"/>
      <c r="D14" s="632"/>
      <c r="E14" s="3637" t="s">
        <v>3003</v>
      </c>
      <c r="F14" s="3638"/>
      <c r="G14" s="3638"/>
      <c r="H14" s="3638"/>
      <c r="I14" s="3638"/>
      <c r="J14" s="3638"/>
      <c r="K14" s="3638"/>
      <c r="L14" s="3638"/>
      <c r="M14" s="3638"/>
      <c r="N14" s="3638"/>
      <c r="O14" s="3638"/>
      <c r="P14" s="3639"/>
      <c r="Q14" s="645">
        <f>P15+P17</f>
        <v>1784000</v>
      </c>
      <c r="R14" s="645">
        <f>SUM(R15:R20)</f>
        <v>5066000</v>
      </c>
      <c r="S14" s="646">
        <f t="shared" si="0"/>
        <v>-3282000</v>
      </c>
      <c r="T14" s="647">
        <f t="shared" si="1"/>
        <v>-0.64784840110540864</v>
      </c>
    </row>
    <row r="15" spans="1:23" ht="15" customHeight="1">
      <c r="A15" s="617"/>
      <c r="B15" s="632"/>
      <c r="C15" s="719"/>
      <c r="D15" s="632"/>
      <c r="E15" s="3356"/>
      <c r="F15" s="1507" t="s">
        <v>1526</v>
      </c>
      <c r="G15" s="686"/>
      <c r="H15" s="679"/>
      <c r="I15" s="679"/>
      <c r="J15" s="679"/>
      <c r="K15" s="679"/>
      <c r="L15" s="1508"/>
      <c r="M15" s="679"/>
      <c r="N15" s="687"/>
      <c r="O15" s="687"/>
      <c r="P15" s="2230">
        <f>SUM(P16:P16)</f>
        <v>384000</v>
      </c>
      <c r="Q15" s="653">
        <f>P15</f>
        <v>384000</v>
      </c>
      <c r="R15" s="653">
        <v>672000</v>
      </c>
      <c r="S15" s="654">
        <f t="shared" ref="S15" si="2">Q15-R15</f>
        <v>-288000</v>
      </c>
      <c r="T15" s="655">
        <f t="shared" ref="T15" si="3">S15/R15</f>
        <v>-0.42857142857142855</v>
      </c>
    </row>
    <row r="16" spans="1:23" ht="15" customHeight="1">
      <c r="A16" s="617"/>
      <c r="B16" s="632"/>
      <c r="C16" s="719"/>
      <c r="D16" s="632"/>
      <c r="E16" s="3356"/>
      <c r="F16" s="2231" t="s">
        <v>1527</v>
      </c>
      <c r="G16" s="880">
        <v>8000</v>
      </c>
      <c r="H16" s="662" t="s">
        <v>51</v>
      </c>
      <c r="I16" s="2232">
        <v>1</v>
      </c>
      <c r="J16" s="662" t="s">
        <v>969</v>
      </c>
      <c r="K16" s="2233">
        <v>4</v>
      </c>
      <c r="L16" s="662" t="s">
        <v>969</v>
      </c>
      <c r="M16" s="881">
        <v>12</v>
      </c>
      <c r="N16" s="701"/>
      <c r="O16" s="669" t="s">
        <v>32</v>
      </c>
      <c r="P16" s="2234">
        <f>G16*I16*K16*M16</f>
        <v>384000</v>
      </c>
      <c r="Q16" s="694"/>
      <c r="R16" s="694"/>
      <c r="S16" s="695"/>
      <c r="T16" s="696"/>
    </row>
    <row r="17" spans="1:20 16367:16367" ht="15" customHeight="1">
      <c r="A17" s="617"/>
      <c r="B17" s="632"/>
      <c r="C17" s="719"/>
      <c r="D17" s="632"/>
      <c r="E17" s="3356"/>
      <c r="F17" s="1507" t="s">
        <v>1528</v>
      </c>
      <c r="G17" s="686"/>
      <c r="H17" s="679"/>
      <c r="I17" s="679"/>
      <c r="J17" s="679"/>
      <c r="K17" s="679"/>
      <c r="L17" s="1508"/>
      <c r="M17" s="679"/>
      <c r="N17" s="687"/>
      <c r="O17" s="687"/>
      <c r="P17" s="2230">
        <f>SUM(P18:P19)</f>
        <v>1400000</v>
      </c>
      <c r="Q17" s="653">
        <f>P17</f>
        <v>1400000</v>
      </c>
      <c r="R17" s="653">
        <v>0</v>
      </c>
      <c r="S17" s="654">
        <f t="shared" ref="S17" si="4">Q17-R17</f>
        <v>1400000</v>
      </c>
      <c r="T17" s="655"/>
    </row>
    <row r="18" spans="1:20 16367:16367" ht="15" customHeight="1">
      <c r="A18" s="617"/>
      <c r="B18" s="632"/>
      <c r="C18" s="719"/>
      <c r="D18" s="632"/>
      <c r="E18" s="3356"/>
      <c r="F18" s="1511" t="s">
        <v>751</v>
      </c>
      <c r="G18" s="722">
        <v>400000</v>
      </c>
      <c r="H18" s="662" t="s">
        <v>817</v>
      </c>
      <c r="I18" s="2235">
        <v>1</v>
      </c>
      <c r="J18" s="662"/>
      <c r="K18" s="662"/>
      <c r="L18" s="2236"/>
      <c r="M18" s="662"/>
      <c r="N18" s="669"/>
      <c r="O18" s="669" t="s">
        <v>913</v>
      </c>
      <c r="P18" s="2237">
        <f>ROUND(G18*I18,-1)</f>
        <v>400000</v>
      </c>
      <c r="Q18" s="694"/>
      <c r="R18" s="694"/>
      <c r="S18" s="695"/>
      <c r="T18" s="696"/>
    </row>
    <row r="19" spans="1:20 16367:16367" ht="15" customHeight="1">
      <c r="A19" s="617"/>
      <c r="B19" s="632"/>
      <c r="C19" s="719"/>
      <c r="D19" s="632"/>
      <c r="E19" s="3356"/>
      <c r="F19" s="1511" t="s">
        <v>65</v>
      </c>
      <c r="G19" s="722">
        <v>1000000</v>
      </c>
      <c r="H19" s="662" t="s">
        <v>817</v>
      </c>
      <c r="I19" s="2235">
        <v>1</v>
      </c>
      <c r="J19" s="662"/>
      <c r="K19" s="662"/>
      <c r="L19" s="2236"/>
      <c r="M19" s="662"/>
      <c r="N19" s="669"/>
      <c r="O19" s="669" t="s">
        <v>913</v>
      </c>
      <c r="P19" s="2237">
        <f>ROUND(G19*I19,-1)</f>
        <v>1000000</v>
      </c>
      <c r="Q19" s="694"/>
      <c r="R19" s="694"/>
      <c r="S19" s="695"/>
      <c r="T19" s="696"/>
    </row>
    <row r="20" spans="1:20 16367:16367" ht="15" customHeight="1">
      <c r="A20" s="617"/>
      <c r="B20" s="632"/>
      <c r="C20" s="719"/>
      <c r="D20" s="632"/>
      <c r="E20" s="3357"/>
      <c r="F20" s="1574" t="s">
        <v>56</v>
      </c>
      <c r="G20" s="1575"/>
      <c r="H20" s="1576"/>
      <c r="I20" s="1576"/>
      <c r="J20" s="1576"/>
      <c r="K20" s="1576"/>
      <c r="L20" s="1577"/>
      <c r="M20" s="1576"/>
      <c r="N20" s="1578"/>
      <c r="O20" s="1578"/>
      <c r="P20" s="2238"/>
      <c r="Q20" s="683">
        <f>P20</f>
        <v>0</v>
      </c>
      <c r="R20" s="683">
        <v>4394000</v>
      </c>
      <c r="S20" s="1489">
        <f t="shared" ref="S20" si="5">Q20-R20</f>
        <v>-4394000</v>
      </c>
      <c r="T20" s="1490">
        <f t="shared" ref="T20" si="6">S20/R20</f>
        <v>-1</v>
      </c>
    </row>
    <row r="21" spans="1:20 16367:16367" ht="15" customHeight="1">
      <c r="A21" s="617"/>
      <c r="B21" s="632"/>
      <c r="C21" s="719"/>
      <c r="D21" s="632"/>
      <c r="E21" s="3637" t="s">
        <v>213</v>
      </c>
      <c r="F21" s="3638"/>
      <c r="G21" s="3638"/>
      <c r="H21" s="3638"/>
      <c r="I21" s="3638"/>
      <c r="J21" s="3638"/>
      <c r="K21" s="3638"/>
      <c r="L21" s="3638"/>
      <c r="M21" s="3638"/>
      <c r="N21" s="3638"/>
      <c r="O21" s="3638"/>
      <c r="P21" s="3639"/>
      <c r="Q21" s="1049">
        <f>SUM(P22)</f>
        <v>720000</v>
      </c>
      <c r="R21" s="1049">
        <v>720000</v>
      </c>
      <c r="S21" s="1050">
        <f>Q21-R21</f>
        <v>0</v>
      </c>
      <c r="T21" s="1051">
        <f>S21/R21</f>
        <v>0</v>
      </c>
      <c r="XEM21" s="1651">
        <f>SUM(Q21)</f>
        <v>720000</v>
      </c>
    </row>
    <row r="22" spans="1:20 16367:16367" ht="15" customHeight="1">
      <c r="A22" s="617"/>
      <c r="B22" s="632"/>
      <c r="C22" s="719"/>
      <c r="D22" s="632"/>
      <c r="F22" s="1507" t="s">
        <v>1529</v>
      </c>
      <c r="G22" s="686"/>
      <c r="H22" s="679"/>
      <c r="I22" s="679"/>
      <c r="J22" s="679"/>
      <c r="K22" s="679"/>
      <c r="L22" s="1508"/>
      <c r="M22" s="679"/>
      <c r="N22" s="687"/>
      <c r="O22" s="687"/>
      <c r="P22" s="681">
        <f>SUM(P23:P23)</f>
        <v>720000</v>
      </c>
      <c r="Q22" s="653">
        <f>P22</f>
        <v>720000</v>
      </c>
      <c r="R22" s="653">
        <v>720000</v>
      </c>
      <c r="S22" s="654">
        <f t="shared" ref="S22" si="7">Q22-R22</f>
        <v>0</v>
      </c>
      <c r="T22" s="655">
        <f t="shared" ref="T22" si="8">S22/R22</f>
        <v>0</v>
      </c>
    </row>
    <row r="23" spans="1:20 16367:16367" ht="15" customHeight="1">
      <c r="A23" s="617"/>
      <c r="B23" s="632"/>
      <c r="C23" s="719"/>
      <c r="D23" s="632"/>
      <c r="E23" s="3358"/>
      <c r="F23" s="2231" t="s">
        <v>215</v>
      </c>
      <c r="G23" s="698">
        <v>60000</v>
      </c>
      <c r="H23" s="699" t="s">
        <v>862</v>
      </c>
      <c r="I23" s="2235">
        <v>1</v>
      </c>
      <c r="J23" s="699" t="s">
        <v>21</v>
      </c>
      <c r="K23" s="2239">
        <v>12</v>
      </c>
      <c r="L23" s="2240"/>
      <c r="M23" s="2239"/>
      <c r="N23" s="728"/>
      <c r="O23" s="728" t="s">
        <v>32</v>
      </c>
      <c r="P23" s="2241">
        <f>G23*I23*K23</f>
        <v>720000</v>
      </c>
      <c r="Q23" s="694"/>
      <c r="R23" s="694"/>
      <c r="S23" s="695"/>
      <c r="T23" s="696"/>
    </row>
    <row r="24" spans="1:20 16367:16367" ht="15" customHeight="1">
      <c r="A24" s="617"/>
      <c r="B24" s="632"/>
      <c r="C24" s="719"/>
      <c r="D24" s="632"/>
      <c r="E24" s="3637" t="s">
        <v>3110</v>
      </c>
      <c r="F24" s="3638"/>
      <c r="G24" s="3638"/>
      <c r="H24" s="3638"/>
      <c r="I24" s="3638"/>
      <c r="J24" s="3638"/>
      <c r="K24" s="3638"/>
      <c r="L24" s="3638"/>
      <c r="M24" s="3638"/>
      <c r="N24" s="3638"/>
      <c r="O24" s="3638"/>
      <c r="P24" s="3639"/>
      <c r="Q24" s="645">
        <f>SUM(P25)</f>
        <v>1200000</v>
      </c>
      <c r="R24" s="645">
        <v>1200000</v>
      </c>
      <c r="S24" s="646">
        <f>Q24-R24</f>
        <v>0</v>
      </c>
      <c r="T24" s="647">
        <f>S24/R24</f>
        <v>0</v>
      </c>
    </row>
    <row r="25" spans="1:20 16367:16367" ht="15" customHeight="1">
      <c r="A25" s="617"/>
      <c r="B25" s="632"/>
      <c r="C25" s="719"/>
      <c r="D25" s="632"/>
      <c r="F25" s="1507" t="s">
        <v>1406</v>
      </c>
      <c r="G25" s="686"/>
      <c r="H25" s="679"/>
      <c r="I25" s="679"/>
      <c r="J25" s="679"/>
      <c r="K25" s="679"/>
      <c r="L25" s="1508"/>
      <c r="M25" s="679"/>
      <c r="N25" s="687"/>
      <c r="O25" s="687"/>
      <c r="P25" s="681">
        <f>SUM(P26:P26)</f>
        <v>1200000</v>
      </c>
      <c r="Q25" s="653">
        <f>P25</f>
        <v>1200000</v>
      </c>
      <c r="R25" s="653">
        <v>1200000</v>
      </c>
      <c r="S25" s="654">
        <f t="shared" ref="S25" si="9">Q25-R25</f>
        <v>0</v>
      </c>
      <c r="T25" s="655">
        <f t="shared" ref="T25" si="10">S25/R25</f>
        <v>0</v>
      </c>
    </row>
    <row r="26" spans="1:20 16367:16367" s="962" customFormat="1" ht="15" customHeight="1">
      <c r="A26" s="973"/>
      <c r="B26" s="632"/>
      <c r="C26" s="719"/>
      <c r="D26" s="632"/>
      <c r="E26" s="3358"/>
      <c r="F26" s="1511" t="s">
        <v>72</v>
      </c>
      <c r="G26" s="658">
        <v>100000</v>
      </c>
      <c r="H26" s="662" t="s">
        <v>912</v>
      </c>
      <c r="I26" s="663">
        <v>12</v>
      </c>
      <c r="J26" s="691"/>
      <c r="K26" s="881"/>
      <c r="L26" s="1510"/>
      <c r="M26" s="881"/>
      <c r="N26" s="701"/>
      <c r="O26" s="701" t="s">
        <v>22</v>
      </c>
      <c r="P26" s="882">
        <f>ROUNDUP(G26*I26,-3)</f>
        <v>1200000</v>
      </c>
      <c r="Q26" s="694"/>
      <c r="R26" s="694"/>
      <c r="S26" s="695"/>
      <c r="T26" s="696"/>
    </row>
    <row r="27" spans="1:20 16367:16367" ht="15" customHeight="1">
      <c r="A27" s="617"/>
      <c r="B27" s="632"/>
      <c r="C27" s="719"/>
      <c r="D27" s="632"/>
      <c r="E27" s="3637" t="s">
        <v>3111</v>
      </c>
      <c r="F27" s="3638"/>
      <c r="G27" s="3638"/>
      <c r="H27" s="3638"/>
      <c r="I27" s="3638"/>
      <c r="J27" s="3638"/>
      <c r="K27" s="3638"/>
      <c r="L27" s="3638"/>
      <c r="M27" s="3638"/>
      <c r="N27" s="3638"/>
      <c r="O27" s="3638"/>
      <c r="P27" s="3639"/>
      <c r="Q27" s="645">
        <f>P28+P30</f>
        <v>2544000</v>
      </c>
      <c r="R27" s="645">
        <v>2544000</v>
      </c>
      <c r="S27" s="646">
        <f>Q27-R27</f>
        <v>0</v>
      </c>
      <c r="T27" s="647">
        <f>S27/R27</f>
        <v>0</v>
      </c>
    </row>
    <row r="28" spans="1:20 16367:16367" s="962" customFormat="1" ht="15" customHeight="1">
      <c r="A28" s="973"/>
      <c r="B28" s="632"/>
      <c r="C28" s="719"/>
      <c r="D28" s="632"/>
      <c r="E28" s="725"/>
      <c r="F28" s="1507" t="s">
        <v>1530</v>
      </c>
      <c r="G28" s="686"/>
      <c r="H28" s="679"/>
      <c r="I28" s="679"/>
      <c r="J28" s="679"/>
      <c r="K28" s="679"/>
      <c r="L28" s="1508"/>
      <c r="M28" s="679"/>
      <c r="N28" s="687"/>
      <c r="O28" s="687"/>
      <c r="P28" s="681">
        <f>P29</f>
        <v>2400000</v>
      </c>
      <c r="Q28" s="653">
        <f>P28</f>
        <v>2400000</v>
      </c>
      <c r="R28" s="653">
        <v>2400000</v>
      </c>
      <c r="S28" s="654">
        <f t="shared" ref="S28" si="11">Q28-R28</f>
        <v>0</v>
      </c>
      <c r="T28" s="655">
        <f t="shared" ref="T28" si="12">S28/R28</f>
        <v>0</v>
      </c>
    </row>
    <row r="29" spans="1:20 16367:16367" s="962" customFormat="1" ht="15" customHeight="1">
      <c r="A29" s="973"/>
      <c r="B29" s="632"/>
      <c r="C29" s="719"/>
      <c r="D29" s="632"/>
      <c r="E29" s="3291"/>
      <c r="F29" s="2242" t="s">
        <v>1531</v>
      </c>
      <c r="G29" s="722">
        <v>200000</v>
      </c>
      <c r="H29" s="662" t="s">
        <v>51</v>
      </c>
      <c r="I29" s="663">
        <v>12</v>
      </c>
      <c r="J29" s="662"/>
      <c r="K29" s="663"/>
      <c r="L29" s="2191"/>
      <c r="M29" s="663"/>
      <c r="N29" s="669"/>
      <c r="O29" s="669" t="s">
        <v>873</v>
      </c>
      <c r="P29" s="2193">
        <f>ROUNDUP(G29*I29,-3)</f>
        <v>2400000</v>
      </c>
      <c r="Q29" s="694"/>
      <c r="R29" s="694"/>
      <c r="S29" s="695"/>
      <c r="T29" s="696"/>
    </row>
    <row r="30" spans="1:20 16367:16367" s="962" customFormat="1" ht="15" customHeight="1">
      <c r="A30" s="973"/>
      <c r="B30" s="632"/>
      <c r="C30" s="719"/>
      <c r="D30" s="632"/>
      <c r="E30" s="3291"/>
      <c r="F30" s="1507" t="s">
        <v>1532</v>
      </c>
      <c r="G30" s="686"/>
      <c r="H30" s="679"/>
      <c r="I30" s="679"/>
      <c r="J30" s="679"/>
      <c r="K30" s="679"/>
      <c r="L30" s="1508"/>
      <c r="M30" s="679"/>
      <c r="N30" s="687"/>
      <c r="O30" s="687"/>
      <c r="P30" s="681">
        <f>P31</f>
        <v>144000</v>
      </c>
      <c r="Q30" s="653">
        <f>P30</f>
        <v>144000</v>
      </c>
      <c r="R30" s="653">
        <v>144000</v>
      </c>
      <c r="S30" s="654">
        <f t="shared" ref="S30" si="13">Q30-R30</f>
        <v>0</v>
      </c>
      <c r="T30" s="655">
        <f t="shared" ref="T30" si="14">S30/R30</f>
        <v>0</v>
      </c>
    </row>
    <row r="31" spans="1:20 16367:16367" s="962" customFormat="1" ht="15" customHeight="1">
      <c r="A31" s="973"/>
      <c r="B31" s="632"/>
      <c r="C31" s="719"/>
      <c r="D31" s="632"/>
      <c r="E31" s="3291"/>
      <c r="F31" s="2242" t="s">
        <v>1533</v>
      </c>
      <c r="G31" s="722">
        <v>12000</v>
      </c>
      <c r="H31" s="662" t="s">
        <v>872</v>
      </c>
      <c r="I31" s="663">
        <v>12</v>
      </c>
      <c r="J31" s="662"/>
      <c r="K31" s="663"/>
      <c r="L31" s="2191"/>
      <c r="M31" s="663"/>
      <c r="N31" s="669"/>
      <c r="O31" s="669" t="s">
        <v>32</v>
      </c>
      <c r="P31" s="2193">
        <f>ROUNDUP(G31*I31,-3)</f>
        <v>144000</v>
      </c>
      <c r="Q31" s="694"/>
      <c r="R31" s="694"/>
      <c r="S31" s="695"/>
      <c r="T31" s="696"/>
    </row>
    <row r="32" spans="1:20 16367:16367" ht="15" customHeight="1">
      <c r="A32" s="617"/>
      <c r="B32" s="632"/>
      <c r="C32" s="719"/>
      <c r="D32" s="632"/>
      <c r="E32" s="3637" t="s">
        <v>3014</v>
      </c>
      <c r="F32" s="3638"/>
      <c r="G32" s="3638"/>
      <c r="H32" s="3638"/>
      <c r="I32" s="3638"/>
      <c r="J32" s="3638"/>
      <c r="K32" s="3638"/>
      <c r="L32" s="3638"/>
      <c r="M32" s="3638"/>
      <c r="N32" s="3638"/>
      <c r="O32" s="3638"/>
      <c r="P32" s="3639"/>
      <c r="Q32" s="645">
        <f>P33</f>
        <v>1200000</v>
      </c>
      <c r="R32" s="645">
        <v>1200000</v>
      </c>
      <c r="S32" s="646">
        <f>Q32-R32</f>
        <v>0</v>
      </c>
      <c r="T32" s="647">
        <f>S32/R32</f>
        <v>0</v>
      </c>
    </row>
    <row r="33" spans="1:20" ht="15" customHeight="1">
      <c r="A33" s="617"/>
      <c r="B33" s="632"/>
      <c r="C33" s="719"/>
      <c r="D33" s="632"/>
      <c r="F33" s="1507" t="s">
        <v>1534</v>
      </c>
      <c r="G33" s="686"/>
      <c r="H33" s="679"/>
      <c r="I33" s="679"/>
      <c r="J33" s="679"/>
      <c r="K33" s="679"/>
      <c r="L33" s="1508"/>
      <c r="M33" s="679"/>
      <c r="N33" s="687"/>
      <c r="O33" s="687"/>
      <c r="P33" s="681">
        <f>SUM(P34:P34)</f>
        <v>1200000</v>
      </c>
      <c r="Q33" s="653">
        <f>P33</f>
        <v>1200000</v>
      </c>
      <c r="R33" s="653">
        <v>1200000</v>
      </c>
      <c r="S33" s="654">
        <f t="shared" ref="S33" si="15">Q33-R33</f>
        <v>0</v>
      </c>
      <c r="T33" s="655">
        <f t="shared" ref="T33" si="16">S33/R33</f>
        <v>0</v>
      </c>
    </row>
    <row r="34" spans="1:20" ht="15" customHeight="1">
      <c r="A34" s="617"/>
      <c r="B34" s="632"/>
      <c r="C34" s="719"/>
      <c r="D34" s="632"/>
      <c r="E34" s="3358"/>
      <c r="F34" s="2231" t="s">
        <v>1535</v>
      </c>
      <c r="G34" s="698">
        <v>100000</v>
      </c>
      <c r="H34" s="699" t="s">
        <v>912</v>
      </c>
      <c r="I34" s="700">
        <v>1</v>
      </c>
      <c r="J34" s="699" t="s">
        <v>21</v>
      </c>
      <c r="K34" s="2239">
        <v>12</v>
      </c>
      <c r="L34" s="2240"/>
      <c r="M34" s="2239"/>
      <c r="N34" s="728"/>
      <c r="O34" s="728" t="s">
        <v>32</v>
      </c>
      <c r="P34" s="2241">
        <f>G34*I34*K34</f>
        <v>1200000</v>
      </c>
      <c r="Q34" s="694"/>
      <c r="R34" s="694"/>
      <c r="S34" s="695"/>
      <c r="T34" s="696"/>
    </row>
    <row r="35" spans="1:20" ht="15" customHeight="1">
      <c r="A35" s="617"/>
      <c r="B35" s="632"/>
      <c r="C35" s="719"/>
      <c r="D35" s="632"/>
      <c r="E35" s="3637" t="s">
        <v>3005</v>
      </c>
      <c r="F35" s="3638"/>
      <c r="G35" s="3638"/>
      <c r="H35" s="3638"/>
      <c r="I35" s="3638"/>
      <c r="J35" s="3638"/>
      <c r="K35" s="3638"/>
      <c r="L35" s="3638"/>
      <c r="M35" s="3638"/>
      <c r="N35" s="3638"/>
      <c r="O35" s="3638"/>
      <c r="P35" s="3639"/>
      <c r="Q35" s="645">
        <f>+P36</f>
        <v>1320000</v>
      </c>
      <c r="R35" s="645">
        <v>2040000</v>
      </c>
      <c r="S35" s="646">
        <f>Q35-R35</f>
        <v>-720000</v>
      </c>
      <c r="T35" s="647">
        <f>S35/R35</f>
        <v>-0.35294117647058826</v>
      </c>
    </row>
    <row r="36" spans="1:20" ht="15" customHeight="1">
      <c r="A36" s="759"/>
      <c r="B36" s="703"/>
      <c r="C36" s="619"/>
      <c r="D36" s="703"/>
      <c r="E36" s="726"/>
      <c r="F36" s="1574" t="s">
        <v>1537</v>
      </c>
      <c r="G36" s="1575"/>
      <c r="H36" s="1576"/>
      <c r="I36" s="1576"/>
      <c r="J36" s="1576"/>
      <c r="K36" s="1576"/>
      <c r="L36" s="1577"/>
      <c r="M36" s="1576"/>
      <c r="N36" s="1578"/>
      <c r="O36" s="1578"/>
      <c r="P36" s="1579">
        <f>SUM(P37:P38)</f>
        <v>1320000</v>
      </c>
      <c r="Q36" s="683">
        <f>P36</f>
        <v>1320000</v>
      </c>
      <c r="R36" s="683">
        <v>2040000</v>
      </c>
      <c r="S36" s="1489">
        <f t="shared" ref="S36" si="17">Q36-R36</f>
        <v>-720000</v>
      </c>
      <c r="T36" s="1490">
        <f t="shared" ref="T36" si="18">S36/R36</f>
        <v>-0.35294117647058826</v>
      </c>
    </row>
    <row r="37" spans="1:20" ht="15" customHeight="1">
      <c r="A37" s="617"/>
      <c r="B37" s="632"/>
      <c r="C37" s="719"/>
      <c r="D37" s="632"/>
      <c r="F37" s="1511" t="s">
        <v>467</v>
      </c>
      <c r="G37" s="880">
        <v>77000</v>
      </c>
      <c r="H37" s="691" t="s">
        <v>21</v>
      </c>
      <c r="I37" s="2243">
        <v>1</v>
      </c>
      <c r="J37" s="691" t="s">
        <v>21</v>
      </c>
      <c r="K37" s="881">
        <v>12</v>
      </c>
      <c r="L37" s="1510"/>
      <c r="M37" s="881"/>
      <c r="N37" s="701"/>
      <c r="O37" s="701" t="s">
        <v>22</v>
      </c>
      <c r="P37" s="882">
        <f>ROUNDUP(G37*I37*K37,-3)</f>
        <v>924000</v>
      </c>
      <c r="Q37" s="694"/>
      <c r="R37" s="694"/>
      <c r="S37" s="695"/>
      <c r="T37" s="696"/>
    </row>
    <row r="38" spans="1:20" ht="15" customHeight="1">
      <c r="A38" s="617"/>
      <c r="B38" s="632"/>
      <c r="C38" s="719"/>
      <c r="D38" s="632"/>
      <c r="E38" s="3358"/>
      <c r="F38" s="1509" t="s">
        <v>1538</v>
      </c>
      <c r="G38" s="702">
        <v>33000</v>
      </c>
      <c r="H38" s="691" t="s">
        <v>21</v>
      </c>
      <c r="I38" s="2243">
        <v>1</v>
      </c>
      <c r="J38" s="691" t="s">
        <v>21</v>
      </c>
      <c r="K38" s="881">
        <v>12</v>
      </c>
      <c r="L38" s="1510"/>
      <c r="M38" s="881"/>
      <c r="N38" s="701"/>
      <c r="O38" s="701" t="s">
        <v>22</v>
      </c>
      <c r="P38" s="882">
        <f>ROUNDUP(G38*I38*K38,-3)</f>
        <v>396000</v>
      </c>
      <c r="Q38" s="694"/>
      <c r="R38" s="694"/>
      <c r="S38" s="695"/>
      <c r="T38" s="696"/>
    </row>
    <row r="39" spans="1:20" ht="15" customHeight="1">
      <c r="A39" s="617"/>
      <c r="B39" s="632"/>
      <c r="C39" s="719"/>
      <c r="D39" s="632"/>
      <c r="E39" s="3637" t="s">
        <v>3056</v>
      </c>
      <c r="F39" s="3638"/>
      <c r="G39" s="3638"/>
      <c r="H39" s="3638"/>
      <c r="I39" s="3638"/>
      <c r="J39" s="3638"/>
      <c r="K39" s="3638"/>
      <c r="L39" s="3638"/>
      <c r="M39" s="3638"/>
      <c r="N39" s="3638"/>
      <c r="O39" s="3638"/>
      <c r="P39" s="3639"/>
      <c r="Q39" s="645">
        <f>+P40</f>
        <v>1000000</v>
      </c>
      <c r="R39" s="645">
        <v>1000000</v>
      </c>
      <c r="S39" s="646">
        <f>Q39-R39</f>
        <v>0</v>
      </c>
      <c r="T39" s="647">
        <f>S39/R39</f>
        <v>0</v>
      </c>
    </row>
    <row r="40" spans="1:20" ht="15" customHeight="1">
      <c r="A40" s="617"/>
      <c r="B40" s="632"/>
      <c r="C40" s="719"/>
      <c r="D40" s="632"/>
      <c r="F40" s="1507" t="s">
        <v>1539</v>
      </c>
      <c r="G40" s="686"/>
      <c r="H40" s="679"/>
      <c r="I40" s="679"/>
      <c r="J40" s="679"/>
      <c r="K40" s="679"/>
      <c r="L40" s="1508"/>
      <c r="M40" s="679"/>
      <c r="N40" s="687"/>
      <c r="O40" s="687"/>
      <c r="P40" s="681">
        <f>SUM(P41:P41)</f>
        <v>1000000</v>
      </c>
      <c r="Q40" s="653">
        <f>P40</f>
        <v>1000000</v>
      </c>
      <c r="R40" s="653">
        <v>1000000</v>
      </c>
      <c r="S40" s="654">
        <f t="shared" ref="S40" si="19">Q40-R40</f>
        <v>0</v>
      </c>
      <c r="T40" s="655">
        <f t="shared" ref="T40" si="20">S40/R40</f>
        <v>0</v>
      </c>
    </row>
    <row r="41" spans="1:20" ht="15" customHeight="1">
      <c r="A41" s="617"/>
      <c r="B41" s="632"/>
      <c r="C41" s="719"/>
      <c r="D41" s="632"/>
      <c r="E41" s="3358"/>
      <c r="F41" s="2231" t="s">
        <v>1540</v>
      </c>
      <c r="G41" s="698">
        <v>1000000</v>
      </c>
      <c r="H41" s="699" t="s">
        <v>1541</v>
      </c>
      <c r="I41" s="700">
        <v>1</v>
      </c>
      <c r="J41" s="699"/>
      <c r="K41" s="2239"/>
      <c r="L41" s="2240"/>
      <c r="M41" s="2239"/>
      <c r="N41" s="728"/>
      <c r="O41" s="728" t="s">
        <v>932</v>
      </c>
      <c r="P41" s="2241">
        <f>ROUNDUP(G41*I41,-3)</f>
        <v>1000000</v>
      </c>
      <c r="Q41" s="694"/>
      <c r="R41" s="694"/>
      <c r="S41" s="695"/>
      <c r="T41" s="696"/>
    </row>
    <row r="42" spans="1:20" ht="15" customHeight="1">
      <c r="A42" s="617"/>
      <c r="B42" s="632"/>
      <c r="C42" s="719"/>
      <c r="D42" s="632"/>
      <c r="E42" s="3637" t="s">
        <v>197</v>
      </c>
      <c r="F42" s="3638"/>
      <c r="G42" s="3638"/>
      <c r="H42" s="3638"/>
      <c r="I42" s="3638"/>
      <c r="J42" s="3638"/>
      <c r="K42" s="3638"/>
      <c r="L42" s="3638"/>
      <c r="M42" s="3638"/>
      <c r="N42" s="3638"/>
      <c r="O42" s="3638"/>
      <c r="P42" s="3639"/>
      <c r="Q42" s="645">
        <f>+P43</f>
        <v>144000</v>
      </c>
      <c r="R42" s="645">
        <v>250000</v>
      </c>
      <c r="S42" s="646">
        <f>Q42-R42</f>
        <v>-106000</v>
      </c>
      <c r="T42" s="647">
        <f>S42/R42</f>
        <v>-0.42399999999999999</v>
      </c>
    </row>
    <row r="43" spans="1:20" ht="15" customHeight="1">
      <c r="A43" s="617"/>
      <c r="B43" s="632"/>
      <c r="C43" s="719"/>
      <c r="D43" s="632"/>
      <c r="E43" s="724"/>
      <c r="F43" s="1507" t="s">
        <v>1542</v>
      </c>
      <c r="G43" s="686"/>
      <c r="H43" s="679"/>
      <c r="I43" s="679"/>
      <c r="J43" s="679"/>
      <c r="K43" s="679"/>
      <c r="L43" s="1508"/>
      <c r="M43" s="679"/>
      <c r="N43" s="687"/>
      <c r="O43" s="687"/>
      <c r="P43" s="681">
        <f>SUM(P44:P44)</f>
        <v>144000</v>
      </c>
      <c r="Q43" s="653">
        <f>P43</f>
        <v>144000</v>
      </c>
      <c r="R43" s="653">
        <v>250000</v>
      </c>
      <c r="S43" s="654">
        <f t="shared" ref="S43" si="21">Q43-R43</f>
        <v>-106000</v>
      </c>
      <c r="T43" s="655">
        <f t="shared" ref="T43" si="22">S43/R43</f>
        <v>-0.42399999999999999</v>
      </c>
    </row>
    <row r="44" spans="1:20" s="962" customFormat="1" ht="15" customHeight="1">
      <c r="A44" s="973"/>
      <c r="B44" s="632"/>
      <c r="C44" s="719"/>
      <c r="D44" s="632"/>
      <c r="E44" s="3358"/>
      <c r="F44" s="1511" t="s">
        <v>1543</v>
      </c>
      <c r="G44" s="880">
        <v>144000</v>
      </c>
      <c r="H44" s="691" t="s">
        <v>21</v>
      </c>
      <c r="I44" s="877">
        <v>1</v>
      </c>
      <c r="J44" s="691"/>
      <c r="K44" s="881"/>
      <c r="L44" s="1510"/>
      <c r="M44" s="881"/>
      <c r="N44" s="701"/>
      <c r="O44" s="701" t="s">
        <v>22</v>
      </c>
      <c r="P44" s="882">
        <f>ROUNDUP(G44*I44,-3)</f>
        <v>144000</v>
      </c>
      <c r="Q44" s="694"/>
      <c r="R44" s="694"/>
      <c r="S44" s="695"/>
      <c r="T44" s="696"/>
    </row>
    <row r="45" spans="1:20" ht="15" customHeight="1">
      <c r="A45" s="617"/>
      <c r="B45" s="632"/>
      <c r="C45" s="719"/>
      <c r="D45" s="632"/>
      <c r="E45" s="3637" t="s">
        <v>198</v>
      </c>
      <c r="F45" s="3638"/>
      <c r="G45" s="3638"/>
      <c r="H45" s="3638"/>
      <c r="I45" s="3638"/>
      <c r="J45" s="3638"/>
      <c r="K45" s="3638"/>
      <c r="L45" s="3638"/>
      <c r="M45" s="3638"/>
      <c r="N45" s="3638"/>
      <c r="O45" s="3638"/>
      <c r="P45" s="3639"/>
      <c r="Q45" s="645">
        <f>+P46</f>
        <v>1042000</v>
      </c>
      <c r="R45" s="645">
        <v>1057000</v>
      </c>
      <c r="S45" s="646">
        <f>Q45-R45</f>
        <v>-15000</v>
      </c>
      <c r="T45" s="647">
        <f>S45/R45</f>
        <v>-1.4191106906338695E-2</v>
      </c>
    </row>
    <row r="46" spans="1:20" ht="15" customHeight="1">
      <c r="A46" s="617"/>
      <c r="B46" s="632"/>
      <c r="C46" s="719"/>
      <c r="D46" s="632"/>
      <c r="F46" s="1507" t="s">
        <v>1544</v>
      </c>
      <c r="G46" s="686"/>
      <c r="H46" s="679"/>
      <c r="I46" s="679"/>
      <c r="J46" s="679"/>
      <c r="K46" s="679"/>
      <c r="L46" s="1508"/>
      <c r="M46" s="679"/>
      <c r="N46" s="687"/>
      <c r="O46" s="687"/>
      <c r="P46" s="681">
        <f>SUM(P47:P48)</f>
        <v>1042000</v>
      </c>
      <c r="Q46" s="653">
        <f>P46</f>
        <v>1042000</v>
      </c>
      <c r="R46" s="653">
        <v>1057000</v>
      </c>
      <c r="S46" s="654">
        <f t="shared" ref="S46" si="23">Q46-R46</f>
        <v>-15000</v>
      </c>
      <c r="T46" s="655">
        <f t="shared" ref="T46" si="24">S46/R46</f>
        <v>-1.4191106906338695E-2</v>
      </c>
    </row>
    <row r="47" spans="1:20" ht="15" customHeight="1">
      <c r="A47" s="617"/>
      <c r="B47" s="632"/>
      <c r="C47" s="719"/>
      <c r="D47" s="632"/>
      <c r="F47" s="1511" t="s">
        <v>1545</v>
      </c>
      <c r="G47" s="880">
        <v>80000</v>
      </c>
      <c r="H47" s="691" t="s">
        <v>21</v>
      </c>
      <c r="I47" s="881">
        <v>12</v>
      </c>
      <c r="J47" s="691"/>
      <c r="K47" s="881"/>
      <c r="L47" s="1510"/>
      <c r="M47" s="881"/>
      <c r="N47" s="701"/>
      <c r="O47" s="701" t="s">
        <v>22</v>
      </c>
      <c r="P47" s="882">
        <f>ROUNDUP(G47*I47,-3)</f>
        <v>960000</v>
      </c>
      <c r="Q47" s="694"/>
      <c r="R47" s="694"/>
      <c r="S47" s="695"/>
      <c r="T47" s="696"/>
    </row>
    <row r="48" spans="1:20" ht="15" customHeight="1">
      <c r="A48" s="617"/>
      <c r="B48" s="632"/>
      <c r="C48" s="719"/>
      <c r="D48" s="632"/>
      <c r="E48" s="3358"/>
      <c r="F48" s="1511" t="s">
        <v>1536</v>
      </c>
      <c r="G48" s="880">
        <v>82000</v>
      </c>
      <c r="H48" s="691" t="s">
        <v>21</v>
      </c>
      <c r="I48" s="878">
        <v>1</v>
      </c>
      <c r="J48" s="691"/>
      <c r="K48" s="881"/>
      <c r="L48" s="1510"/>
      <c r="M48" s="881"/>
      <c r="N48" s="701"/>
      <c r="O48" s="701" t="s">
        <v>22</v>
      </c>
      <c r="P48" s="882">
        <f>ROUNDUP(G48*I48,-3)</f>
        <v>82000</v>
      </c>
      <c r="Q48" s="694"/>
      <c r="R48" s="694"/>
      <c r="S48" s="695"/>
      <c r="T48" s="696"/>
    </row>
    <row r="49" spans="1:20" s="1137" customFormat="1" ht="15" customHeight="1">
      <c r="A49" s="1166"/>
      <c r="B49" s="1139"/>
      <c r="C49" s="1168"/>
      <c r="D49" s="632"/>
      <c r="E49" s="3637" t="s">
        <v>222</v>
      </c>
      <c r="F49" s="3638"/>
      <c r="G49" s="3638"/>
      <c r="H49" s="3638"/>
      <c r="I49" s="3638"/>
      <c r="J49" s="3638"/>
      <c r="K49" s="3638"/>
      <c r="L49" s="3638"/>
      <c r="M49" s="3638"/>
      <c r="N49" s="3638"/>
      <c r="O49" s="3638"/>
      <c r="P49" s="3639"/>
      <c r="Q49" s="2244">
        <f>P50</f>
        <v>80000</v>
      </c>
      <c r="R49" s="2244">
        <v>0</v>
      </c>
      <c r="S49" s="2245">
        <f>Q49-R49</f>
        <v>80000</v>
      </c>
      <c r="T49" s="2246"/>
    </row>
    <row r="50" spans="1:20" s="1137" customFormat="1" ht="15" customHeight="1">
      <c r="A50" s="1166"/>
      <c r="B50" s="1139"/>
      <c r="C50" s="1168"/>
      <c r="D50" s="632"/>
      <c r="E50" s="3359"/>
      <c r="F50" s="1507" t="s">
        <v>1546</v>
      </c>
      <c r="G50" s="686"/>
      <c r="H50" s="679"/>
      <c r="I50" s="679"/>
      <c r="J50" s="679"/>
      <c r="K50" s="679"/>
      <c r="L50" s="1508"/>
      <c r="M50" s="679"/>
      <c r="N50" s="687"/>
      <c r="O50" s="687"/>
      <c r="P50" s="681">
        <f>SUM(P51:P51)</f>
        <v>80000</v>
      </c>
      <c r="Q50" s="653">
        <f>P50</f>
        <v>80000</v>
      </c>
      <c r="R50" s="653">
        <v>0</v>
      </c>
      <c r="S50" s="654">
        <f t="shared" ref="S50" si="25">Q50-R50</f>
        <v>80000</v>
      </c>
      <c r="T50" s="655"/>
    </row>
    <row r="51" spans="1:20" s="1137" customFormat="1" ht="15" customHeight="1">
      <c r="A51" s="1166"/>
      <c r="B51" s="1139"/>
      <c r="C51" s="1168"/>
      <c r="D51" s="632"/>
      <c r="E51" s="3359"/>
      <c r="F51" s="2247" t="s">
        <v>1547</v>
      </c>
      <c r="G51" s="2248">
        <v>80000</v>
      </c>
      <c r="H51" s="2249" t="s">
        <v>21</v>
      </c>
      <c r="I51" s="2250">
        <v>1</v>
      </c>
      <c r="J51" s="2249"/>
      <c r="K51" s="2251"/>
      <c r="L51" s="2252"/>
      <c r="M51" s="2251"/>
      <c r="N51" s="2253"/>
      <c r="O51" s="2253" t="s">
        <v>22</v>
      </c>
      <c r="P51" s="2254">
        <f>G51*I51</f>
        <v>80000</v>
      </c>
      <c r="Q51" s="694"/>
      <c r="R51" s="694"/>
      <c r="S51" s="695"/>
      <c r="T51" s="696"/>
    </row>
    <row r="52" spans="1:20" ht="15" customHeight="1">
      <c r="A52" s="617"/>
      <c r="B52" s="632"/>
      <c r="C52" s="719"/>
      <c r="D52" s="632"/>
      <c r="E52" s="3637" t="s">
        <v>252</v>
      </c>
      <c r="F52" s="3638"/>
      <c r="G52" s="3638"/>
      <c r="H52" s="3638"/>
      <c r="I52" s="3638"/>
      <c r="J52" s="3638"/>
      <c r="K52" s="3638"/>
      <c r="L52" s="3638"/>
      <c r="M52" s="3638"/>
      <c r="N52" s="3638"/>
      <c r="O52" s="3638"/>
      <c r="P52" s="3639"/>
      <c r="Q52" s="645">
        <f>+P53</f>
        <v>300000</v>
      </c>
      <c r="R52" s="645">
        <v>300000</v>
      </c>
      <c r="S52" s="646">
        <f>Q52-R52</f>
        <v>0</v>
      </c>
      <c r="T52" s="647">
        <f>S52/R52</f>
        <v>0</v>
      </c>
    </row>
    <row r="53" spans="1:20" ht="15" customHeight="1">
      <c r="A53" s="617"/>
      <c r="B53" s="632"/>
      <c r="C53" s="719"/>
      <c r="D53" s="632"/>
      <c r="E53" s="1143"/>
      <c r="F53" s="1507" t="s">
        <v>1018</v>
      </c>
      <c r="G53" s="686"/>
      <c r="H53" s="679"/>
      <c r="I53" s="679"/>
      <c r="J53" s="679"/>
      <c r="K53" s="679"/>
      <c r="L53" s="1508"/>
      <c r="M53" s="679"/>
      <c r="N53" s="687"/>
      <c r="O53" s="687"/>
      <c r="P53" s="681">
        <f>SUM(P54)</f>
        <v>300000</v>
      </c>
      <c r="Q53" s="653">
        <f>P53</f>
        <v>300000</v>
      </c>
      <c r="R53" s="653">
        <v>300000</v>
      </c>
      <c r="S53" s="654">
        <f t="shared" ref="S53" si="26">Q53-R53</f>
        <v>0</v>
      </c>
      <c r="T53" s="655">
        <f t="shared" ref="T53" si="27">S53/R53</f>
        <v>0</v>
      </c>
    </row>
    <row r="54" spans="1:20" ht="15" customHeight="1">
      <c r="A54" s="617"/>
      <c r="B54" s="632"/>
      <c r="C54" s="719"/>
      <c r="D54" s="632"/>
      <c r="E54" s="3306"/>
      <c r="F54" s="2255" t="s">
        <v>1474</v>
      </c>
      <c r="G54" s="706">
        <v>300000</v>
      </c>
      <c r="H54" s="707" t="s">
        <v>912</v>
      </c>
      <c r="I54" s="2235">
        <v>1</v>
      </c>
      <c r="J54" s="707"/>
      <c r="K54" s="2256"/>
      <c r="L54" s="2257"/>
      <c r="M54" s="2256"/>
      <c r="N54" s="2258"/>
      <c r="O54" s="2258" t="s">
        <v>913</v>
      </c>
      <c r="P54" s="2259">
        <f>ROUNDUP(G54*I54,-3)</f>
        <v>300000</v>
      </c>
      <c r="Q54" s="694"/>
      <c r="R54" s="694"/>
      <c r="S54" s="695"/>
      <c r="T54" s="696"/>
    </row>
    <row r="55" spans="1:20" s="1137" customFormat="1" ht="15" customHeight="1">
      <c r="A55" s="1166"/>
      <c r="B55" s="1139"/>
      <c r="C55" s="1168"/>
      <c r="D55" s="1346"/>
      <c r="E55" s="3637" t="s">
        <v>349</v>
      </c>
      <c r="F55" s="3638"/>
      <c r="G55" s="3638"/>
      <c r="H55" s="3638"/>
      <c r="I55" s="3638"/>
      <c r="J55" s="3638"/>
      <c r="K55" s="3638"/>
      <c r="L55" s="3638"/>
      <c r="M55" s="3638"/>
      <c r="N55" s="3638"/>
      <c r="O55" s="3638"/>
      <c r="P55" s="3639"/>
      <c r="Q55" s="2260">
        <v>0</v>
      </c>
      <c r="R55" s="2260">
        <v>33000000</v>
      </c>
      <c r="S55" s="2261">
        <f t="shared" ref="S55" si="28">Q55-R55</f>
        <v>-33000000</v>
      </c>
      <c r="T55" s="2262">
        <f t="shared" ref="T55" si="29">S55/R55</f>
        <v>-1</v>
      </c>
    </row>
    <row r="56" spans="1:20" s="962" customFormat="1" ht="15" customHeight="1">
      <c r="A56" s="973"/>
      <c r="B56" s="632"/>
      <c r="C56" s="719"/>
      <c r="D56" s="2263" t="s">
        <v>115</v>
      </c>
      <c r="E56" s="2229"/>
      <c r="F56" s="1269"/>
      <c r="G56" s="636"/>
      <c r="H56" s="635"/>
      <c r="I56" s="635"/>
      <c r="J56" s="635"/>
      <c r="K56" s="635"/>
      <c r="L56" s="1268"/>
      <c r="M56" s="635"/>
      <c r="N56" s="637"/>
      <c r="O56" s="637"/>
      <c r="P56" s="635"/>
      <c r="Q56" s="638">
        <f>+Q57</f>
        <v>0</v>
      </c>
      <c r="R56" s="638">
        <f>+R57</f>
        <v>3000000</v>
      </c>
      <c r="S56" s="793">
        <f t="shared" ref="S56:S63" si="30">Q56-R56</f>
        <v>-3000000</v>
      </c>
      <c r="T56" s="873">
        <f>S56/R56</f>
        <v>-1</v>
      </c>
    </row>
    <row r="57" spans="1:20" ht="15" customHeight="1">
      <c r="A57" s="617"/>
      <c r="B57" s="632"/>
      <c r="C57" s="719"/>
      <c r="D57" s="626"/>
      <c r="E57" s="3637" t="s">
        <v>3112</v>
      </c>
      <c r="F57" s="3638"/>
      <c r="G57" s="3638"/>
      <c r="H57" s="3638"/>
      <c r="I57" s="3638"/>
      <c r="J57" s="3638"/>
      <c r="K57" s="3638"/>
      <c r="L57" s="3638"/>
      <c r="M57" s="3638"/>
      <c r="N57" s="3638"/>
      <c r="O57" s="3638"/>
      <c r="P57" s="3639"/>
      <c r="Q57" s="645">
        <v>0</v>
      </c>
      <c r="R57" s="645">
        <v>3000000</v>
      </c>
      <c r="S57" s="646">
        <f t="shared" si="30"/>
        <v>-3000000</v>
      </c>
      <c r="T57" s="647">
        <f>S57/R57</f>
        <v>-1</v>
      </c>
    </row>
    <row r="58" spans="1:20" ht="15" customHeight="1">
      <c r="A58" s="617"/>
      <c r="B58" s="632"/>
      <c r="C58" s="3657" t="s">
        <v>350</v>
      </c>
      <c r="D58" s="3658"/>
      <c r="E58" s="3658"/>
      <c r="F58" s="3658"/>
      <c r="G58" s="3658"/>
      <c r="H58" s="3658"/>
      <c r="I58" s="3658"/>
      <c r="J58" s="3658"/>
      <c r="K58" s="3658"/>
      <c r="L58" s="3658"/>
      <c r="M58" s="3658"/>
      <c r="N58" s="3658"/>
      <c r="O58" s="3658"/>
      <c r="P58" s="3659"/>
      <c r="Q58" s="946">
        <f>Q59+Q61</f>
        <v>4707000</v>
      </c>
      <c r="R58" s="946">
        <f>R59+R61</f>
        <v>4030000</v>
      </c>
      <c r="S58" s="942">
        <f t="shared" si="30"/>
        <v>677000</v>
      </c>
      <c r="T58" s="2225">
        <f>S58/R58</f>
        <v>0.16799007444168734</v>
      </c>
    </row>
    <row r="59" spans="1:20" ht="15" customHeight="1">
      <c r="A59" s="617"/>
      <c r="B59" s="632"/>
      <c r="C59" s="719"/>
      <c r="D59" s="684" t="s">
        <v>351</v>
      </c>
      <c r="E59" s="2229"/>
      <c r="F59" s="1269"/>
      <c r="G59" s="636"/>
      <c r="H59" s="635"/>
      <c r="I59" s="635"/>
      <c r="J59" s="635"/>
      <c r="K59" s="635"/>
      <c r="L59" s="1268"/>
      <c r="M59" s="635"/>
      <c r="N59" s="637"/>
      <c r="O59" s="637"/>
      <c r="P59" s="635"/>
      <c r="Q59" s="638">
        <f>Q60</f>
        <v>0</v>
      </c>
      <c r="R59" s="638">
        <f>R60</f>
        <v>0</v>
      </c>
      <c r="S59" s="793">
        <f t="shared" si="30"/>
        <v>0</v>
      </c>
      <c r="T59" s="873">
        <v>0</v>
      </c>
    </row>
    <row r="60" spans="1:20" ht="15" customHeight="1">
      <c r="A60" s="1166"/>
      <c r="B60" s="1139"/>
      <c r="C60" s="1168"/>
      <c r="D60" s="2264"/>
      <c r="E60" s="3637" t="s">
        <v>782</v>
      </c>
      <c r="F60" s="3638"/>
      <c r="G60" s="3638"/>
      <c r="H60" s="3638"/>
      <c r="I60" s="3638"/>
      <c r="J60" s="3638"/>
      <c r="K60" s="3638"/>
      <c r="L60" s="3638"/>
      <c r="M60" s="3638"/>
      <c r="N60" s="3638"/>
      <c r="O60" s="3638"/>
      <c r="P60" s="3639"/>
      <c r="Q60" s="645">
        <v>0</v>
      </c>
      <c r="R60" s="645">
        <v>0</v>
      </c>
      <c r="S60" s="646">
        <f t="shared" si="30"/>
        <v>0</v>
      </c>
      <c r="T60" s="647">
        <v>0</v>
      </c>
    </row>
    <row r="61" spans="1:20" s="962" customFormat="1" ht="15" customHeight="1">
      <c r="A61" s="617"/>
      <c r="B61" s="632"/>
      <c r="C61" s="719"/>
      <c r="D61" s="684" t="s">
        <v>258</v>
      </c>
      <c r="E61" s="2229"/>
      <c r="F61" s="1269"/>
      <c r="G61" s="636"/>
      <c r="H61" s="635"/>
      <c r="I61" s="635"/>
      <c r="J61" s="635"/>
      <c r="K61" s="635"/>
      <c r="L61" s="1268"/>
      <c r="M61" s="635"/>
      <c r="N61" s="637"/>
      <c r="O61" s="637"/>
      <c r="P61" s="635"/>
      <c r="Q61" s="638">
        <f>+Q62+Q70</f>
        <v>4707000</v>
      </c>
      <c r="R61" s="638">
        <f>+R62+R70</f>
        <v>4030000</v>
      </c>
      <c r="S61" s="793">
        <f t="shared" si="30"/>
        <v>677000</v>
      </c>
      <c r="T61" s="873">
        <f>S61/R61</f>
        <v>0.16799007444168734</v>
      </c>
    </row>
    <row r="62" spans="1:20" ht="15" customHeight="1">
      <c r="A62" s="617"/>
      <c r="B62" s="632"/>
      <c r="C62" s="719"/>
      <c r="D62" s="626"/>
      <c r="E62" s="3637" t="s">
        <v>3113</v>
      </c>
      <c r="F62" s="3638"/>
      <c r="G62" s="3638"/>
      <c r="H62" s="3638"/>
      <c r="I62" s="3638"/>
      <c r="J62" s="3638"/>
      <c r="K62" s="3638"/>
      <c r="L62" s="3638"/>
      <c r="M62" s="3638"/>
      <c r="N62" s="3638"/>
      <c r="O62" s="3638"/>
      <c r="P62" s="3639"/>
      <c r="Q62" s="645">
        <f>P63</f>
        <v>707000</v>
      </c>
      <c r="R62" s="645">
        <f>SUM(R63:R69)</f>
        <v>4030000</v>
      </c>
      <c r="S62" s="646">
        <f t="shared" si="30"/>
        <v>-3323000</v>
      </c>
      <c r="T62" s="647">
        <f>S62/R62</f>
        <v>-0.82456575682382138</v>
      </c>
    </row>
    <row r="63" spans="1:20" s="962" customFormat="1" ht="15" customHeight="1">
      <c r="A63" s="973"/>
      <c r="B63" s="632"/>
      <c r="C63" s="719"/>
      <c r="D63" s="632"/>
      <c r="E63" s="725"/>
      <c r="F63" s="1507" t="s">
        <v>1548</v>
      </c>
      <c r="G63" s="686"/>
      <c r="H63" s="679"/>
      <c r="I63" s="679"/>
      <c r="J63" s="679"/>
      <c r="K63" s="679"/>
      <c r="L63" s="1508"/>
      <c r="M63" s="679"/>
      <c r="N63" s="687"/>
      <c r="O63" s="687"/>
      <c r="P63" s="681">
        <f>SUM(P64:P66)</f>
        <v>707000</v>
      </c>
      <c r="Q63" s="653">
        <f>P63</f>
        <v>707000</v>
      </c>
      <c r="R63" s="653">
        <v>980000</v>
      </c>
      <c r="S63" s="654">
        <f t="shared" si="30"/>
        <v>-273000</v>
      </c>
      <c r="T63" s="655">
        <f t="shared" ref="T63" si="31">S63/R63</f>
        <v>-0.27857142857142858</v>
      </c>
    </row>
    <row r="64" spans="1:20" s="962" customFormat="1" ht="15" customHeight="1">
      <c r="A64" s="973"/>
      <c r="B64" s="632"/>
      <c r="C64" s="719"/>
      <c r="D64" s="632"/>
      <c r="E64" s="725"/>
      <c r="F64" s="1511" t="s">
        <v>2387</v>
      </c>
      <c r="G64" s="702">
        <v>350000</v>
      </c>
      <c r="H64" s="691" t="s">
        <v>21</v>
      </c>
      <c r="I64" s="878">
        <v>1</v>
      </c>
      <c r="J64" s="691"/>
      <c r="K64" s="881"/>
      <c r="L64" s="1510"/>
      <c r="M64" s="881"/>
      <c r="N64" s="701"/>
      <c r="O64" s="701" t="s">
        <v>22</v>
      </c>
      <c r="P64" s="882">
        <f>ROUNDUP(G64*I64,-3)</f>
        <v>350000</v>
      </c>
      <c r="Q64" s="694"/>
      <c r="R64" s="694"/>
      <c r="S64" s="695"/>
      <c r="T64" s="696"/>
    </row>
    <row r="65" spans="1:20" s="962" customFormat="1" ht="15" customHeight="1">
      <c r="A65" s="973"/>
      <c r="B65" s="632"/>
      <c r="C65" s="719"/>
      <c r="D65" s="632"/>
      <c r="E65" s="725"/>
      <c r="F65" s="1511" t="s">
        <v>2388</v>
      </c>
      <c r="G65" s="702">
        <v>315000</v>
      </c>
      <c r="H65" s="691" t="s">
        <v>21</v>
      </c>
      <c r="I65" s="878">
        <v>1</v>
      </c>
      <c r="J65" s="691"/>
      <c r="K65" s="881"/>
      <c r="L65" s="1510"/>
      <c r="M65" s="881"/>
      <c r="N65" s="701"/>
      <c r="O65" s="701" t="s">
        <v>22</v>
      </c>
      <c r="P65" s="882">
        <f>ROUNDUP(G65*I65,-3)</f>
        <v>315000</v>
      </c>
      <c r="Q65" s="694"/>
      <c r="R65" s="694"/>
      <c r="S65" s="695"/>
      <c r="T65" s="696"/>
    </row>
    <row r="66" spans="1:20" s="962" customFormat="1" ht="15" customHeight="1">
      <c r="A66" s="973"/>
      <c r="B66" s="632"/>
      <c r="C66" s="719"/>
      <c r="D66" s="632"/>
      <c r="E66" s="725"/>
      <c r="F66" s="1511" t="s">
        <v>2389</v>
      </c>
      <c r="G66" s="702">
        <v>42000</v>
      </c>
      <c r="H66" s="691" t="s">
        <v>21</v>
      </c>
      <c r="I66" s="878">
        <v>1</v>
      </c>
      <c r="J66" s="691"/>
      <c r="K66" s="881"/>
      <c r="L66" s="1510"/>
      <c r="M66" s="881"/>
      <c r="N66" s="701"/>
      <c r="O66" s="701" t="s">
        <v>22</v>
      </c>
      <c r="P66" s="882">
        <f>ROUNDUP(G66*I66,-3)</f>
        <v>42000</v>
      </c>
      <c r="Q66" s="694"/>
      <c r="R66" s="694"/>
      <c r="S66" s="695"/>
      <c r="T66" s="696"/>
    </row>
    <row r="67" spans="1:20" s="962" customFormat="1" ht="15" customHeight="1">
      <c r="A67" s="973"/>
      <c r="B67" s="632"/>
      <c r="C67" s="719"/>
      <c r="D67" s="632"/>
      <c r="E67" s="725"/>
      <c r="F67" s="1507" t="s">
        <v>2893</v>
      </c>
      <c r="G67" s="686"/>
      <c r="H67" s="679"/>
      <c r="I67" s="679"/>
      <c r="J67" s="679"/>
      <c r="K67" s="679"/>
      <c r="L67" s="1508"/>
      <c r="M67" s="679"/>
      <c r="N67" s="687"/>
      <c r="O67" s="687"/>
      <c r="P67" s="681"/>
      <c r="Q67" s="653">
        <f>P67</f>
        <v>0</v>
      </c>
      <c r="R67" s="653">
        <v>1450000</v>
      </c>
      <c r="S67" s="654">
        <f t="shared" ref="S67:S69" si="32">Q67-R67</f>
        <v>-1450000</v>
      </c>
      <c r="T67" s="655">
        <f t="shared" ref="T67:T69" si="33">S67/R67</f>
        <v>-1</v>
      </c>
    </row>
    <row r="68" spans="1:20" s="962" customFormat="1" ht="15" customHeight="1">
      <c r="A68" s="973"/>
      <c r="B68" s="632"/>
      <c r="C68" s="719"/>
      <c r="D68" s="632"/>
      <c r="E68" s="725"/>
      <c r="F68" s="1507" t="s">
        <v>2894</v>
      </c>
      <c r="G68" s="686"/>
      <c r="H68" s="679"/>
      <c r="I68" s="679"/>
      <c r="J68" s="679"/>
      <c r="K68" s="679"/>
      <c r="L68" s="1508"/>
      <c r="M68" s="679"/>
      <c r="N68" s="687"/>
      <c r="O68" s="687"/>
      <c r="P68" s="681"/>
      <c r="Q68" s="653">
        <f>P68</f>
        <v>0</v>
      </c>
      <c r="R68" s="653">
        <v>480000</v>
      </c>
      <c r="S68" s="654">
        <f t="shared" si="32"/>
        <v>-480000</v>
      </c>
      <c r="T68" s="655">
        <f t="shared" si="33"/>
        <v>-1</v>
      </c>
    </row>
    <row r="69" spans="1:20" s="962" customFormat="1" ht="15" customHeight="1">
      <c r="A69" s="973"/>
      <c r="B69" s="632"/>
      <c r="C69" s="719"/>
      <c r="D69" s="632"/>
      <c r="E69" s="725"/>
      <c r="F69" s="1507" t="s">
        <v>2895</v>
      </c>
      <c r="G69" s="686"/>
      <c r="H69" s="679"/>
      <c r="I69" s="679"/>
      <c r="J69" s="679"/>
      <c r="K69" s="679"/>
      <c r="L69" s="1508"/>
      <c r="M69" s="679"/>
      <c r="N69" s="687"/>
      <c r="O69" s="687"/>
      <c r="P69" s="681"/>
      <c r="Q69" s="653">
        <f>P69</f>
        <v>0</v>
      </c>
      <c r="R69" s="653">
        <v>1120000</v>
      </c>
      <c r="S69" s="654">
        <f t="shared" si="32"/>
        <v>-1120000</v>
      </c>
      <c r="T69" s="655">
        <f t="shared" si="33"/>
        <v>-1</v>
      </c>
    </row>
    <row r="70" spans="1:20" s="1137" customFormat="1" ht="15" customHeight="1">
      <c r="A70" s="1166"/>
      <c r="B70" s="1139"/>
      <c r="C70" s="1168"/>
      <c r="D70" s="1139"/>
      <c r="E70" s="3637" t="s">
        <v>3009</v>
      </c>
      <c r="F70" s="3638"/>
      <c r="G70" s="3638"/>
      <c r="H70" s="3638"/>
      <c r="I70" s="3638"/>
      <c r="J70" s="3638"/>
      <c r="K70" s="3638"/>
      <c r="L70" s="3638"/>
      <c r="M70" s="3638"/>
      <c r="N70" s="3638"/>
      <c r="O70" s="3638"/>
      <c r="P70" s="3639"/>
      <c r="Q70" s="1154">
        <f>P71</f>
        <v>4000000</v>
      </c>
      <c r="R70" s="1154">
        <v>0</v>
      </c>
      <c r="S70" s="1155">
        <f>Q70-R70</f>
        <v>4000000</v>
      </c>
      <c r="T70" s="2246"/>
    </row>
    <row r="71" spans="1:20" s="1137" customFormat="1" ht="15" customHeight="1">
      <c r="A71" s="1166"/>
      <c r="B71" s="1139"/>
      <c r="C71" s="1168"/>
      <c r="D71" s="1139"/>
      <c r="E71" s="3307"/>
      <c r="F71" s="1507" t="s">
        <v>1549</v>
      </c>
      <c r="G71" s="686"/>
      <c r="H71" s="679"/>
      <c r="I71" s="679"/>
      <c r="J71" s="679"/>
      <c r="K71" s="679"/>
      <c r="L71" s="1508"/>
      <c r="M71" s="679"/>
      <c r="N71" s="687"/>
      <c r="O71" s="687"/>
      <c r="P71" s="681">
        <f>SUM(P72:P75)</f>
        <v>4000000</v>
      </c>
      <c r="Q71" s="653">
        <f>P71</f>
        <v>4000000</v>
      </c>
      <c r="R71" s="653">
        <v>0</v>
      </c>
      <c r="S71" s="654">
        <f t="shared" ref="S71" si="34">Q71-R71</f>
        <v>4000000</v>
      </c>
      <c r="T71" s="655"/>
    </row>
    <row r="72" spans="1:20" s="1137" customFormat="1" ht="15" customHeight="1">
      <c r="A72" s="1482"/>
      <c r="B72" s="1296"/>
      <c r="C72" s="1136"/>
      <c r="D72" s="1296"/>
      <c r="E72" s="3318"/>
      <c r="F72" s="1531" t="s">
        <v>2390</v>
      </c>
      <c r="G72" s="711">
        <v>90000</v>
      </c>
      <c r="H72" s="709" t="s">
        <v>21</v>
      </c>
      <c r="I72" s="3033">
        <v>23</v>
      </c>
      <c r="J72" s="709"/>
      <c r="K72" s="709"/>
      <c r="L72" s="1582"/>
      <c r="M72" s="709"/>
      <c r="N72" s="710"/>
      <c r="O72" s="710" t="s">
        <v>2391</v>
      </c>
      <c r="P72" s="3037">
        <f>ROUNDUP(G72*I72,-3)</f>
        <v>2070000</v>
      </c>
      <c r="Q72" s="712"/>
      <c r="R72" s="712"/>
      <c r="S72" s="713"/>
      <c r="T72" s="714"/>
    </row>
    <row r="73" spans="1:20" s="1137" customFormat="1" ht="15" customHeight="1">
      <c r="A73" s="1166"/>
      <c r="B73" s="1139"/>
      <c r="C73" s="1168"/>
      <c r="D73" s="1139"/>
      <c r="E73" s="1143"/>
      <c r="F73" s="1511" t="s">
        <v>2392</v>
      </c>
      <c r="G73" s="1568">
        <v>2500</v>
      </c>
      <c r="H73" s="748" t="s">
        <v>21</v>
      </c>
      <c r="I73" s="2265">
        <v>12</v>
      </c>
      <c r="J73" s="748" t="s">
        <v>21</v>
      </c>
      <c r="K73" s="2266">
        <v>23</v>
      </c>
      <c r="L73" s="2267"/>
      <c r="M73" s="750"/>
      <c r="N73" s="974"/>
      <c r="O73" s="974" t="s">
        <v>22</v>
      </c>
      <c r="P73" s="981">
        <f>ROUNDUP(G73*I73*K73,-3)</f>
        <v>690000</v>
      </c>
      <c r="Q73" s="694"/>
      <c r="R73" s="694"/>
      <c r="S73" s="695"/>
      <c r="T73" s="696"/>
    </row>
    <row r="74" spans="1:20" s="1137" customFormat="1" ht="15" customHeight="1">
      <c r="A74" s="1166"/>
      <c r="B74" s="1139"/>
      <c r="C74" s="1168"/>
      <c r="D74" s="1139"/>
      <c r="E74" s="1143"/>
      <c r="F74" s="1511" t="s">
        <v>2393</v>
      </c>
      <c r="G74" s="1568">
        <v>400</v>
      </c>
      <c r="H74" s="748" t="s">
        <v>21</v>
      </c>
      <c r="I74" s="2265">
        <v>12</v>
      </c>
      <c r="J74" s="748" t="s">
        <v>21</v>
      </c>
      <c r="K74" s="2266">
        <v>50</v>
      </c>
      <c r="L74" s="2267"/>
      <c r="M74" s="750"/>
      <c r="N74" s="974"/>
      <c r="O74" s="974" t="s">
        <v>122</v>
      </c>
      <c r="P74" s="981">
        <f t="shared" ref="P74:P75" si="35">ROUNDUP(G74*I74*K74,-3)</f>
        <v>240000</v>
      </c>
      <c r="Q74" s="694"/>
      <c r="R74" s="694"/>
      <c r="S74" s="695"/>
      <c r="T74" s="696"/>
    </row>
    <row r="75" spans="1:20" s="962" customFormat="1" ht="15" customHeight="1">
      <c r="A75" s="973"/>
      <c r="B75" s="632"/>
      <c r="C75" s="719"/>
      <c r="D75" s="632"/>
      <c r="E75" s="725"/>
      <c r="F75" s="1511" t="s">
        <v>2394</v>
      </c>
      <c r="G75" s="1568">
        <v>12500</v>
      </c>
      <c r="H75" s="748" t="s">
        <v>21</v>
      </c>
      <c r="I75" s="2265">
        <v>20</v>
      </c>
      <c r="J75" s="748" t="s">
        <v>21</v>
      </c>
      <c r="K75" s="2266">
        <v>4</v>
      </c>
      <c r="L75" s="2267"/>
      <c r="M75" s="750"/>
      <c r="N75" s="974"/>
      <c r="O75" s="974" t="s">
        <v>2395</v>
      </c>
      <c r="P75" s="981">
        <f t="shared" si="35"/>
        <v>1000000</v>
      </c>
      <c r="Q75" s="976"/>
      <c r="R75" s="976"/>
      <c r="S75" s="977"/>
      <c r="T75" s="2268"/>
    </row>
    <row r="76" spans="1:20" ht="15" customHeight="1">
      <c r="A76" s="617"/>
      <c r="B76" s="632"/>
      <c r="C76" s="3657" t="s">
        <v>207</v>
      </c>
      <c r="D76" s="3658"/>
      <c r="E76" s="3658"/>
      <c r="F76" s="3658"/>
      <c r="G76" s="3658"/>
      <c r="H76" s="3658"/>
      <c r="I76" s="3658"/>
      <c r="J76" s="3658"/>
      <c r="K76" s="3658"/>
      <c r="L76" s="3658"/>
      <c r="M76" s="3658"/>
      <c r="N76" s="3658"/>
      <c r="O76" s="3658"/>
      <c r="P76" s="3659"/>
      <c r="Q76" s="946">
        <f>+Q77+Q80</f>
        <v>0</v>
      </c>
      <c r="R76" s="946">
        <f>+R77+R80</f>
        <v>3962000</v>
      </c>
      <c r="S76" s="942">
        <f t="shared" ref="S76:S85" si="36">Q76-R76</f>
        <v>-3962000</v>
      </c>
      <c r="T76" s="2225">
        <f>S76/R76</f>
        <v>-1</v>
      </c>
    </row>
    <row r="77" spans="1:20" s="962" customFormat="1" ht="15" customHeight="1">
      <c r="A77" s="973"/>
      <c r="B77" s="632"/>
      <c r="C77" s="719"/>
      <c r="D77" s="684" t="s">
        <v>2044</v>
      </c>
      <c r="E77" s="2229"/>
      <c r="F77" s="1269"/>
      <c r="G77" s="636"/>
      <c r="H77" s="635"/>
      <c r="I77" s="635"/>
      <c r="J77" s="635"/>
      <c r="K77" s="635"/>
      <c r="L77" s="1268"/>
      <c r="M77" s="635"/>
      <c r="N77" s="637"/>
      <c r="O77" s="637"/>
      <c r="P77" s="635"/>
      <c r="Q77" s="638">
        <f>Q78+Q79</f>
        <v>0</v>
      </c>
      <c r="R77" s="638">
        <f>R78+R79</f>
        <v>1560000</v>
      </c>
      <c r="S77" s="793">
        <f t="shared" si="36"/>
        <v>-1560000</v>
      </c>
      <c r="T77" s="873">
        <f>S77/R77</f>
        <v>-1</v>
      </c>
    </row>
    <row r="78" spans="1:20" ht="15" customHeight="1">
      <c r="A78" s="973"/>
      <c r="B78" s="632"/>
      <c r="C78" s="719"/>
      <c r="D78" s="626"/>
      <c r="E78" s="3637" t="s">
        <v>3003</v>
      </c>
      <c r="F78" s="3638"/>
      <c r="G78" s="3638"/>
      <c r="H78" s="3638"/>
      <c r="I78" s="3638"/>
      <c r="J78" s="3638"/>
      <c r="K78" s="3638"/>
      <c r="L78" s="3638"/>
      <c r="M78" s="3638"/>
      <c r="N78" s="3638"/>
      <c r="O78" s="3638"/>
      <c r="P78" s="3639"/>
      <c r="Q78" s="645">
        <v>0</v>
      </c>
      <c r="R78" s="645">
        <v>1480000</v>
      </c>
      <c r="S78" s="646">
        <f t="shared" si="36"/>
        <v>-1480000</v>
      </c>
      <c r="T78" s="647">
        <f>S78/R78</f>
        <v>-1</v>
      </c>
    </row>
    <row r="79" spans="1:20" ht="15" customHeight="1">
      <c r="A79" s="973"/>
      <c r="B79" s="632"/>
      <c r="C79" s="719"/>
      <c r="D79" s="632"/>
      <c r="E79" s="3637" t="s">
        <v>222</v>
      </c>
      <c r="F79" s="3638"/>
      <c r="G79" s="3638"/>
      <c r="H79" s="3638"/>
      <c r="I79" s="3638"/>
      <c r="J79" s="3638"/>
      <c r="K79" s="3638"/>
      <c r="L79" s="3638"/>
      <c r="M79" s="3638"/>
      <c r="N79" s="3638"/>
      <c r="O79" s="3638"/>
      <c r="P79" s="3639"/>
      <c r="Q79" s="645">
        <v>0</v>
      </c>
      <c r="R79" s="645">
        <v>80000</v>
      </c>
      <c r="S79" s="646">
        <f t="shared" si="36"/>
        <v>-80000</v>
      </c>
      <c r="T79" s="647"/>
    </row>
    <row r="80" spans="1:20" s="1137" customFormat="1" ht="15" customHeight="1">
      <c r="A80" s="973"/>
      <c r="B80" s="632"/>
      <c r="C80" s="1168"/>
      <c r="D80" s="1144" t="s">
        <v>115</v>
      </c>
      <c r="E80" s="3296"/>
      <c r="F80" s="1373"/>
      <c r="G80" s="1146"/>
      <c r="H80" s="1145"/>
      <c r="I80" s="1145"/>
      <c r="J80" s="1145"/>
      <c r="K80" s="1145"/>
      <c r="L80" s="1374"/>
      <c r="M80" s="1145"/>
      <c r="N80" s="1147"/>
      <c r="O80" s="1147"/>
      <c r="P80" s="1145"/>
      <c r="Q80" s="1148">
        <f>Q81</f>
        <v>0</v>
      </c>
      <c r="R80" s="1148">
        <f>R81</f>
        <v>2402000</v>
      </c>
      <c r="S80" s="1149">
        <f>Q80-R80</f>
        <v>-2402000</v>
      </c>
      <c r="T80" s="2269">
        <f>S80/R80</f>
        <v>-1</v>
      </c>
    </row>
    <row r="81" spans="1:20" ht="15" customHeight="1">
      <c r="A81" s="973"/>
      <c r="B81" s="632"/>
      <c r="C81" s="719"/>
      <c r="D81" s="632"/>
      <c r="E81" s="3637" t="s">
        <v>201</v>
      </c>
      <c r="F81" s="3638"/>
      <c r="G81" s="3638"/>
      <c r="H81" s="3638"/>
      <c r="I81" s="3638"/>
      <c r="J81" s="3638"/>
      <c r="K81" s="3638"/>
      <c r="L81" s="3638"/>
      <c r="M81" s="3638"/>
      <c r="N81" s="3638"/>
      <c r="O81" s="3638"/>
      <c r="P81" s="3639"/>
      <c r="Q81" s="645">
        <v>0</v>
      </c>
      <c r="R81" s="645">
        <v>2402000</v>
      </c>
      <c r="S81" s="646">
        <f t="shared" si="36"/>
        <v>-2402000</v>
      </c>
      <c r="T81" s="647">
        <f>S81/R81</f>
        <v>-1</v>
      </c>
    </row>
    <row r="82" spans="1:20" s="128" customFormat="1" ht="15" customHeight="1">
      <c r="A82" s="973"/>
      <c r="B82" s="632"/>
      <c r="C82" s="3657" t="s">
        <v>3170</v>
      </c>
      <c r="D82" s="3658"/>
      <c r="E82" s="3658"/>
      <c r="F82" s="3658"/>
      <c r="G82" s="3658"/>
      <c r="H82" s="3658"/>
      <c r="I82" s="3658"/>
      <c r="J82" s="3658"/>
      <c r="K82" s="3658"/>
      <c r="L82" s="3658"/>
      <c r="M82" s="3658"/>
      <c r="N82" s="3658"/>
      <c r="O82" s="3658"/>
      <c r="P82" s="3659"/>
      <c r="Q82" s="872">
        <f>Q83</f>
        <v>10000</v>
      </c>
      <c r="R82" s="872">
        <f>R83</f>
        <v>10000</v>
      </c>
      <c r="S82" s="942">
        <f t="shared" si="36"/>
        <v>0</v>
      </c>
      <c r="T82" s="2225">
        <f>S82/R82</f>
        <v>0</v>
      </c>
    </row>
    <row r="83" spans="1:20" s="128" customFormat="1" ht="15" customHeight="1">
      <c r="A83" s="973"/>
      <c r="B83" s="632"/>
      <c r="C83" s="786"/>
      <c r="D83" s="715" t="s">
        <v>223</v>
      </c>
      <c r="E83" s="3288"/>
      <c r="F83" s="1305"/>
      <c r="G83" s="717"/>
      <c r="H83" s="716"/>
      <c r="I83" s="716"/>
      <c r="J83" s="716"/>
      <c r="K83" s="716"/>
      <c r="L83" s="1306"/>
      <c r="M83" s="716"/>
      <c r="N83" s="718"/>
      <c r="O83" s="718"/>
      <c r="P83" s="716"/>
      <c r="Q83" s="685">
        <f>Q84</f>
        <v>10000</v>
      </c>
      <c r="R83" s="685">
        <f>R84</f>
        <v>10000</v>
      </c>
      <c r="S83" s="639">
        <f t="shared" si="36"/>
        <v>0</v>
      </c>
      <c r="T83" s="640">
        <f>S83/R83</f>
        <v>0</v>
      </c>
    </row>
    <row r="84" spans="1:20" s="128" customFormat="1" ht="15" customHeight="1">
      <c r="A84" s="778"/>
      <c r="B84" s="786"/>
      <c r="C84" s="786"/>
      <c r="D84" s="786"/>
      <c r="E84" s="3637" t="s">
        <v>2863</v>
      </c>
      <c r="F84" s="3638"/>
      <c r="G84" s="3638"/>
      <c r="H84" s="3638"/>
      <c r="I84" s="3638"/>
      <c r="J84" s="3638"/>
      <c r="K84" s="3638"/>
      <c r="L84" s="3638"/>
      <c r="M84" s="3638"/>
      <c r="N84" s="3638"/>
      <c r="O84" s="3638"/>
      <c r="P84" s="3639"/>
      <c r="Q84" s="645">
        <f>P85</f>
        <v>10000</v>
      </c>
      <c r="R84" s="645">
        <v>10000</v>
      </c>
      <c r="S84" s="646">
        <f t="shared" si="36"/>
        <v>0</v>
      </c>
      <c r="T84" s="647">
        <f>S84/R84</f>
        <v>0</v>
      </c>
    </row>
    <row r="85" spans="1:20" s="128" customFormat="1" ht="15" customHeight="1">
      <c r="A85" s="778"/>
      <c r="B85" s="786"/>
      <c r="C85" s="786"/>
      <c r="D85" s="786"/>
      <c r="E85" s="1143"/>
      <c r="F85" s="1507" t="s">
        <v>1550</v>
      </c>
      <c r="G85" s="686"/>
      <c r="H85" s="679"/>
      <c r="I85" s="679"/>
      <c r="J85" s="679"/>
      <c r="K85" s="679"/>
      <c r="L85" s="1508"/>
      <c r="M85" s="679"/>
      <c r="N85" s="687"/>
      <c r="O85" s="687"/>
      <c r="P85" s="681">
        <f>SUM(P86)</f>
        <v>10000</v>
      </c>
      <c r="Q85" s="653">
        <f>P85</f>
        <v>10000</v>
      </c>
      <c r="R85" s="653">
        <v>10000</v>
      </c>
      <c r="S85" s="654">
        <f t="shared" si="36"/>
        <v>0</v>
      </c>
      <c r="T85" s="655">
        <f t="shared" ref="T85" si="37">S85/R85</f>
        <v>0</v>
      </c>
    </row>
    <row r="86" spans="1:20" s="128" customFormat="1" ht="15" customHeight="1" thickBot="1">
      <c r="A86" s="898"/>
      <c r="B86" s="899"/>
      <c r="C86" s="899"/>
      <c r="D86" s="899"/>
      <c r="E86" s="3309"/>
      <c r="F86" s="1583" t="s">
        <v>1551</v>
      </c>
      <c r="G86" s="903">
        <v>10000</v>
      </c>
      <c r="H86" s="904" t="s">
        <v>21</v>
      </c>
      <c r="I86" s="905">
        <v>1</v>
      </c>
      <c r="J86" s="904"/>
      <c r="K86" s="906"/>
      <c r="L86" s="2270"/>
      <c r="M86" s="906"/>
      <c r="N86" s="907"/>
      <c r="O86" s="907" t="s">
        <v>22</v>
      </c>
      <c r="P86" s="908">
        <f>ROUNDUP(G86*I86,-3)</f>
        <v>10000</v>
      </c>
      <c r="Q86" s="909"/>
      <c r="R86" s="909"/>
      <c r="S86" s="910"/>
      <c r="T86" s="911"/>
    </row>
    <row r="87" spans="1:20">
      <c r="R87" s="965"/>
    </row>
    <row r="88" spans="1:20">
      <c r="R88" s="965"/>
    </row>
    <row r="89" spans="1:20">
      <c r="R89" s="965"/>
    </row>
    <row r="90" spans="1:20">
      <c r="R90" s="965"/>
    </row>
    <row r="91" spans="1:20">
      <c r="R91" s="965"/>
    </row>
    <row r="92" spans="1:20">
      <c r="R92" s="965"/>
    </row>
    <row r="93" spans="1:20">
      <c r="R93" s="965"/>
    </row>
    <row r="112" spans="11:11">
      <c r="K112" s="930" t="s">
        <v>2981</v>
      </c>
    </row>
  </sheetData>
  <mergeCells count="35">
    <mergeCell ref="A1:T1"/>
    <mergeCell ref="S2:T2"/>
    <mergeCell ref="A3:E3"/>
    <mergeCell ref="G3:P4"/>
    <mergeCell ref="Q3:Q4"/>
    <mergeCell ref="R3:R4"/>
    <mergeCell ref="S3:S4"/>
    <mergeCell ref="T3:T4"/>
    <mergeCell ref="E9:P9"/>
    <mergeCell ref="E14:P14"/>
    <mergeCell ref="E21:P21"/>
    <mergeCell ref="E10:O10"/>
    <mergeCell ref="E11:O11"/>
    <mergeCell ref="E12:O12"/>
    <mergeCell ref="E24:P24"/>
    <mergeCell ref="E27:P27"/>
    <mergeCell ref="E32:P32"/>
    <mergeCell ref="E35:P35"/>
    <mergeCell ref="E39:P39"/>
    <mergeCell ref="E42:P42"/>
    <mergeCell ref="E45:P45"/>
    <mergeCell ref="E49:P49"/>
    <mergeCell ref="E52:P52"/>
    <mergeCell ref="E55:P55"/>
    <mergeCell ref="E57:P57"/>
    <mergeCell ref="E60:P60"/>
    <mergeCell ref="E62:P62"/>
    <mergeCell ref="E70:P70"/>
    <mergeCell ref="E78:P78"/>
    <mergeCell ref="E79:P79"/>
    <mergeCell ref="E81:P81"/>
    <mergeCell ref="E84:P84"/>
    <mergeCell ref="C58:P58"/>
    <mergeCell ref="C82:P82"/>
    <mergeCell ref="C76:P7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4" fitToHeight="0" orientation="landscape" r:id="rId1"/>
  <headerFooter scaleWithDoc="0"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0070C0"/>
    <pageSetUpPr fitToPage="1"/>
  </sheetPr>
  <dimension ref="A1:X397"/>
  <sheetViews>
    <sheetView view="pageBreakPreview" zoomScaleNormal="85" zoomScaleSheetLayoutView="100" workbookViewId="0">
      <pane ySplit="8" topLeftCell="A85" activePane="bottomLeft" state="frozen"/>
      <selection activeCell="O40" sqref="O39:O40"/>
      <selection pane="bottomLeft" activeCell="U113" sqref="U113:U114"/>
    </sheetView>
  </sheetViews>
  <sheetFormatPr defaultColWidth="9" defaultRowHeight="16.5"/>
  <cols>
    <col min="1" max="1" width="3.625" style="128" customWidth="1"/>
    <col min="2" max="4" width="3.625" style="839" customWidth="1"/>
    <col min="5" max="5" width="10.625" style="897" customWidth="1"/>
    <col min="6" max="6" width="49.625" style="1256" customWidth="1"/>
    <col min="7" max="7" width="14.5" style="840" bestFit="1" customWidth="1"/>
    <col min="8" max="8" width="2.125" style="128" customWidth="1"/>
    <col min="9" max="9" width="6.375" style="128" customWidth="1"/>
    <col min="10" max="10" width="2.125" style="128" customWidth="1"/>
    <col min="11" max="11" width="7.5" style="128" customWidth="1"/>
    <col min="12" max="12" width="2.625" style="1257" customWidth="1"/>
    <col min="13" max="13" width="5.375" style="128" customWidth="1"/>
    <col min="14" max="14" width="2.75" style="841" customWidth="1"/>
    <col min="15" max="15" width="2.625" style="841" customWidth="1"/>
    <col min="16" max="16" width="13.625" style="128" customWidth="1"/>
    <col min="17" max="17" width="10.625" style="842" customWidth="1"/>
    <col min="18" max="18" width="10.625" style="843" customWidth="1"/>
    <col min="19" max="19" width="10.625" style="1174" customWidth="1"/>
    <col min="20" max="20" width="10.625" style="1175" customWidth="1"/>
    <col min="21" max="21" width="9" style="128"/>
    <col min="22" max="22" width="12" style="128" bestFit="1" customWidth="1"/>
    <col min="23" max="23" width="13.25" style="128" bestFit="1" customWidth="1"/>
    <col min="24" max="16384" width="9" style="128"/>
  </cols>
  <sheetData>
    <row r="1" spans="1:23" ht="35.1" customHeight="1">
      <c r="A1" s="3679" t="s">
        <v>1776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  <c r="T1" s="3785"/>
    </row>
    <row r="2" spans="1:23" ht="15" customHeight="1" thickBot="1">
      <c r="A2" s="128" t="s">
        <v>382</v>
      </c>
      <c r="E2" s="792"/>
      <c r="S2" s="3680" t="s">
        <v>383</v>
      </c>
      <c r="T2" s="3680"/>
    </row>
    <row r="3" spans="1:23" s="841" customFormat="1" ht="15" customHeight="1">
      <c r="A3" s="3743" t="s">
        <v>2</v>
      </c>
      <c r="B3" s="3644"/>
      <c r="C3" s="3644"/>
      <c r="D3" s="3644"/>
      <c r="E3" s="3644"/>
      <c r="F3" s="1258"/>
      <c r="G3" s="3645" t="s">
        <v>3</v>
      </c>
      <c r="H3" s="3645"/>
      <c r="I3" s="3645"/>
      <c r="J3" s="3645"/>
      <c r="K3" s="3645"/>
      <c r="L3" s="3645"/>
      <c r="M3" s="3645"/>
      <c r="N3" s="3645"/>
      <c r="O3" s="3645"/>
      <c r="P3" s="3646"/>
      <c r="Q3" s="3649" t="s">
        <v>4</v>
      </c>
      <c r="R3" s="3651" t="s">
        <v>326</v>
      </c>
      <c r="S3" s="3746" t="s">
        <v>5</v>
      </c>
      <c r="T3" s="3655" t="s">
        <v>6</v>
      </c>
    </row>
    <row r="4" spans="1:23" s="841" customFormat="1" ht="15" customHeight="1" thickBot="1">
      <c r="A4" s="502" t="s">
        <v>7</v>
      </c>
      <c r="B4" s="503" t="s">
        <v>8</v>
      </c>
      <c r="C4" s="503" t="s">
        <v>9</v>
      </c>
      <c r="D4" s="503" t="s">
        <v>10</v>
      </c>
      <c r="E4" s="503" t="s">
        <v>11</v>
      </c>
      <c r="F4" s="1259" t="s">
        <v>12</v>
      </c>
      <c r="G4" s="3647"/>
      <c r="H4" s="3647"/>
      <c r="I4" s="3647"/>
      <c r="J4" s="3647"/>
      <c r="K4" s="3647"/>
      <c r="L4" s="3647"/>
      <c r="M4" s="3647"/>
      <c r="N4" s="3647"/>
      <c r="O4" s="3647"/>
      <c r="P4" s="3648"/>
      <c r="Q4" s="3650"/>
      <c r="R4" s="3652"/>
      <c r="S4" s="3747"/>
      <c r="T4" s="3656"/>
    </row>
    <row r="5" spans="1:23" ht="15" customHeight="1" thickBot="1">
      <c r="A5" s="1260" t="s">
        <v>384</v>
      </c>
      <c r="B5" s="1261"/>
      <c r="C5" s="1261"/>
      <c r="D5" s="1261"/>
      <c r="E5" s="1261"/>
      <c r="F5" s="1262"/>
      <c r="G5" s="612"/>
      <c r="H5" s="611"/>
      <c r="I5" s="611"/>
      <c r="J5" s="611"/>
      <c r="K5" s="611"/>
      <c r="L5" s="1263"/>
      <c r="M5" s="611"/>
      <c r="N5" s="613"/>
      <c r="O5" s="613"/>
      <c r="P5" s="611"/>
      <c r="Q5" s="614">
        <f>Q6</f>
        <v>914627000</v>
      </c>
      <c r="R5" s="614">
        <f>R6</f>
        <v>1345286000</v>
      </c>
      <c r="S5" s="793">
        <f t="shared" ref="S5:S11" si="0">Q5-R5</f>
        <v>-430659000</v>
      </c>
      <c r="T5" s="873">
        <f t="shared" ref="T5:T9" si="1">S5/R5</f>
        <v>-0.32012449397377213</v>
      </c>
      <c r="V5" s="128">
        <v>917839000</v>
      </c>
      <c r="W5" s="128">
        <v>1345286000</v>
      </c>
    </row>
    <row r="6" spans="1:23" ht="15" customHeight="1">
      <c r="A6" s="778"/>
      <c r="B6" s="779" t="s">
        <v>385</v>
      </c>
      <c r="C6" s="780"/>
      <c r="D6" s="780"/>
      <c r="E6" s="780"/>
      <c r="F6" s="1264"/>
      <c r="G6" s="864"/>
      <c r="H6" s="863"/>
      <c r="I6" s="863"/>
      <c r="J6" s="863"/>
      <c r="K6" s="863"/>
      <c r="L6" s="1265"/>
      <c r="M6" s="863"/>
      <c r="N6" s="865"/>
      <c r="O6" s="865"/>
      <c r="P6" s="863"/>
      <c r="Q6" s="866">
        <f>Q7+Q104+Q251+Q392</f>
        <v>914627000</v>
      </c>
      <c r="R6" s="866">
        <f>R7+R104+R251+R392</f>
        <v>1345286000</v>
      </c>
      <c r="S6" s="764">
        <f t="shared" si="0"/>
        <v>-430659000</v>
      </c>
      <c r="T6" s="2001">
        <f t="shared" si="1"/>
        <v>-0.32012449397377213</v>
      </c>
      <c r="V6" s="1120">
        <f>Q5-V5</f>
        <v>-3212000</v>
      </c>
      <c r="W6" s="1120">
        <f>R5-W5</f>
        <v>0</v>
      </c>
    </row>
    <row r="7" spans="1:23" ht="15" customHeight="1">
      <c r="A7" s="778"/>
      <c r="B7" s="844"/>
      <c r="C7" s="787" t="s">
        <v>386</v>
      </c>
      <c r="D7" s="787"/>
      <c r="E7" s="787"/>
      <c r="F7" s="1266"/>
      <c r="G7" s="870"/>
      <c r="H7" s="869"/>
      <c r="I7" s="869"/>
      <c r="J7" s="869"/>
      <c r="K7" s="869"/>
      <c r="L7" s="1267"/>
      <c r="M7" s="869"/>
      <c r="N7" s="871"/>
      <c r="O7" s="871"/>
      <c r="P7" s="869"/>
      <c r="Q7" s="872">
        <f>Q8+Q19+Q99</f>
        <v>342765000</v>
      </c>
      <c r="R7" s="872">
        <f>R8+R19+R99</f>
        <v>1146145000</v>
      </c>
      <c r="S7" s="764">
        <f t="shared" si="0"/>
        <v>-803380000</v>
      </c>
      <c r="T7" s="2001">
        <f t="shared" si="1"/>
        <v>-0.70094098041696296</v>
      </c>
    </row>
    <row r="8" spans="1:23" ht="15" customHeight="1">
      <c r="A8" s="778"/>
      <c r="B8" s="786"/>
      <c r="C8" s="792"/>
      <c r="D8" s="1268" t="s">
        <v>387</v>
      </c>
      <c r="E8" s="2229"/>
      <c r="F8" s="1269"/>
      <c r="G8" s="636"/>
      <c r="H8" s="635"/>
      <c r="I8" s="635"/>
      <c r="J8" s="635"/>
      <c r="K8" s="635"/>
      <c r="L8" s="1268"/>
      <c r="M8" s="635"/>
      <c r="N8" s="637"/>
      <c r="O8" s="637"/>
      <c r="P8" s="635"/>
      <c r="Q8" s="638">
        <f>Q9+Q10+Q11+Q18</f>
        <v>130434000</v>
      </c>
      <c r="R8" s="638">
        <f>R9+R10+R11+R18</f>
        <v>500000000</v>
      </c>
      <c r="S8" s="793">
        <f t="shared" si="0"/>
        <v>-369566000</v>
      </c>
      <c r="T8" s="873">
        <f t="shared" si="1"/>
        <v>-0.73913200000000001</v>
      </c>
    </row>
    <row r="9" spans="1:23" ht="15" customHeight="1">
      <c r="A9" s="778"/>
      <c r="B9" s="786"/>
      <c r="C9" s="792"/>
      <c r="D9" s="786"/>
      <c r="E9" s="3637" t="s">
        <v>3000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8"/>
      <c r="P9" s="3639"/>
      <c r="Q9" s="645">
        <v>0</v>
      </c>
      <c r="R9" s="645">
        <v>218599000</v>
      </c>
      <c r="S9" s="646">
        <f t="shared" si="0"/>
        <v>-218599000</v>
      </c>
      <c r="T9" s="647">
        <f t="shared" si="1"/>
        <v>-1</v>
      </c>
    </row>
    <row r="10" spans="1:23" ht="15" customHeight="1">
      <c r="A10" s="778"/>
      <c r="B10" s="786"/>
      <c r="C10" s="792"/>
      <c r="D10" s="786"/>
      <c r="E10" s="3637" t="s">
        <v>3114</v>
      </c>
      <c r="F10" s="3638"/>
      <c r="G10" s="3638"/>
      <c r="H10" s="3638"/>
      <c r="I10" s="3638"/>
      <c r="J10" s="3638"/>
      <c r="K10" s="3638"/>
      <c r="L10" s="3638"/>
      <c r="M10" s="3638"/>
      <c r="N10" s="3638"/>
      <c r="O10" s="3638"/>
      <c r="P10" s="3639"/>
      <c r="Q10" s="645">
        <v>0</v>
      </c>
      <c r="R10" s="645">
        <v>146688000</v>
      </c>
      <c r="S10" s="646">
        <f t="shared" si="0"/>
        <v>-146688000</v>
      </c>
      <c r="T10" s="647">
        <f t="shared" ref="T10" si="2">S10/R10</f>
        <v>-1</v>
      </c>
      <c r="V10" s="128">
        <v>911877000</v>
      </c>
    </row>
    <row r="11" spans="1:23" ht="15" customHeight="1">
      <c r="A11" s="778"/>
      <c r="B11" s="786"/>
      <c r="C11" s="792"/>
      <c r="D11" s="786"/>
      <c r="E11" s="3637" t="s">
        <v>3010</v>
      </c>
      <c r="F11" s="3638"/>
      <c r="G11" s="3638"/>
      <c r="H11" s="3638"/>
      <c r="I11" s="3638"/>
      <c r="J11" s="3638"/>
      <c r="K11" s="3638"/>
      <c r="L11" s="3638"/>
      <c r="M11" s="3638"/>
      <c r="N11" s="3638"/>
      <c r="O11" s="3638"/>
      <c r="P11" s="3639"/>
      <c r="Q11" s="645">
        <f>P12</f>
        <v>130434000</v>
      </c>
      <c r="R11" s="645">
        <v>104272000</v>
      </c>
      <c r="S11" s="646">
        <f t="shared" si="0"/>
        <v>26162000</v>
      </c>
      <c r="T11" s="647">
        <f t="shared" ref="T11:T12" si="3">S11/R11</f>
        <v>0.25090148841491483</v>
      </c>
    </row>
    <row r="12" spans="1:23" ht="15" customHeight="1">
      <c r="A12" s="778"/>
      <c r="B12" s="786"/>
      <c r="C12" s="792"/>
      <c r="D12" s="786"/>
      <c r="F12" s="2002" t="s">
        <v>1640</v>
      </c>
      <c r="G12" s="1004"/>
      <c r="H12" s="992"/>
      <c r="I12" s="992"/>
      <c r="J12" s="992"/>
      <c r="K12" s="992"/>
      <c r="L12" s="2003"/>
      <c r="M12" s="992"/>
      <c r="N12" s="1022"/>
      <c r="O12" s="1022"/>
      <c r="P12" s="994">
        <f>SUM(P13:P17)</f>
        <v>130434000</v>
      </c>
      <c r="Q12" s="1018">
        <v>130434000</v>
      </c>
      <c r="R12" s="2004">
        <v>104272000</v>
      </c>
      <c r="S12" s="2005">
        <f t="shared" ref="S12" si="4">Q12-R12</f>
        <v>26162000</v>
      </c>
      <c r="T12" s="2006">
        <f t="shared" si="3"/>
        <v>0.25090148841491483</v>
      </c>
    </row>
    <row r="13" spans="1:23" ht="15" customHeight="1">
      <c r="A13" s="778"/>
      <c r="B13" s="786"/>
      <c r="C13" s="792"/>
      <c r="D13" s="786"/>
      <c r="E13" s="3282"/>
      <c r="F13" s="1522" t="s">
        <v>210</v>
      </c>
      <c r="G13" s="2007">
        <v>1950000</v>
      </c>
      <c r="H13" s="1523" t="s">
        <v>125</v>
      </c>
      <c r="I13" s="2008">
        <v>2</v>
      </c>
      <c r="J13" s="1523" t="s">
        <v>21</v>
      </c>
      <c r="K13" s="1524">
        <v>12</v>
      </c>
      <c r="L13" s="1525"/>
      <c r="M13" s="1524"/>
      <c r="N13" s="1526"/>
      <c r="O13" s="1526" t="s">
        <v>122</v>
      </c>
      <c r="P13" s="1527">
        <f t="shared" ref="P13:P16" si="5">ROUNDUP(G13*I13*K13,-3)</f>
        <v>46800000</v>
      </c>
      <c r="Q13" s="858"/>
      <c r="R13" s="858"/>
      <c r="S13" s="859"/>
      <c r="T13" s="891"/>
      <c r="W13" s="1120"/>
    </row>
    <row r="14" spans="1:23" ht="15" customHeight="1">
      <c r="A14" s="778"/>
      <c r="B14" s="786"/>
      <c r="C14" s="792"/>
      <c r="D14" s="786"/>
      <c r="E14" s="3282"/>
      <c r="F14" s="1522" t="s">
        <v>1641</v>
      </c>
      <c r="G14" s="2007">
        <v>1950000</v>
      </c>
      <c r="H14" s="1523" t="s">
        <v>1636</v>
      </c>
      <c r="I14" s="2008">
        <v>2</v>
      </c>
      <c r="J14" s="1523" t="s">
        <v>21</v>
      </c>
      <c r="K14" s="1524">
        <v>12</v>
      </c>
      <c r="L14" s="1525"/>
      <c r="M14" s="1524"/>
      <c r="N14" s="1526"/>
      <c r="O14" s="1526" t="s">
        <v>122</v>
      </c>
      <c r="P14" s="1527">
        <f t="shared" si="5"/>
        <v>46800000</v>
      </c>
      <c r="Q14" s="858"/>
      <c r="R14" s="858"/>
      <c r="S14" s="859"/>
      <c r="T14" s="891"/>
    </row>
    <row r="15" spans="1:23" ht="15" customHeight="1">
      <c r="A15" s="778"/>
      <c r="B15" s="786"/>
      <c r="C15" s="792"/>
      <c r="D15" s="786"/>
      <c r="E15" s="3282"/>
      <c r="F15" s="1522" t="s">
        <v>1635</v>
      </c>
      <c r="G15" s="2007">
        <v>1950000</v>
      </c>
      <c r="H15" s="1523" t="s">
        <v>1636</v>
      </c>
      <c r="I15" s="2008">
        <v>1</v>
      </c>
      <c r="J15" s="1523" t="s">
        <v>21</v>
      </c>
      <c r="K15" s="1524">
        <v>12</v>
      </c>
      <c r="L15" s="1525"/>
      <c r="M15" s="1524"/>
      <c r="N15" s="1526"/>
      <c r="O15" s="1526" t="s">
        <v>122</v>
      </c>
      <c r="P15" s="1527">
        <f t="shared" si="5"/>
        <v>23400000</v>
      </c>
      <c r="Q15" s="858"/>
      <c r="R15" s="858"/>
      <c r="S15" s="859"/>
      <c r="T15" s="891"/>
    </row>
    <row r="16" spans="1:23" ht="15" customHeight="1">
      <c r="A16" s="778"/>
      <c r="B16" s="786"/>
      <c r="C16" s="792"/>
      <c r="D16" s="786"/>
      <c r="E16" s="3282"/>
      <c r="F16" s="1528" t="s">
        <v>1638</v>
      </c>
      <c r="G16" s="2007">
        <v>85000</v>
      </c>
      <c r="H16" s="1523" t="s">
        <v>1636</v>
      </c>
      <c r="I16" s="2008">
        <v>5</v>
      </c>
      <c r="J16" s="1523" t="s">
        <v>21</v>
      </c>
      <c r="K16" s="2009">
        <v>8</v>
      </c>
      <c r="L16" s="1523"/>
      <c r="M16" s="2009"/>
      <c r="N16" s="1523"/>
      <c r="O16" s="1526" t="s">
        <v>1637</v>
      </c>
      <c r="P16" s="1527">
        <f t="shared" si="5"/>
        <v>3400000</v>
      </c>
      <c r="Q16" s="858"/>
      <c r="R16" s="858"/>
      <c r="S16" s="859"/>
      <c r="T16" s="891"/>
    </row>
    <row r="17" spans="1:20" ht="15" customHeight="1">
      <c r="A17" s="778"/>
      <c r="B17" s="786"/>
      <c r="C17" s="792"/>
      <c r="D17" s="786"/>
      <c r="E17" s="3282"/>
      <c r="F17" s="1522" t="s">
        <v>1639</v>
      </c>
      <c r="G17" s="1516">
        <v>120400000</v>
      </c>
      <c r="H17" s="1523" t="s">
        <v>1636</v>
      </c>
      <c r="I17" s="3788">
        <v>12</v>
      </c>
      <c r="J17" s="3788"/>
      <c r="K17" s="1524"/>
      <c r="L17" s="1525"/>
      <c r="M17" s="1524"/>
      <c r="N17" s="1526"/>
      <c r="O17" s="1526" t="s">
        <v>1637</v>
      </c>
      <c r="P17" s="1527">
        <f>ROUNDUP((G17/12),-3)</f>
        <v>10034000</v>
      </c>
      <c r="Q17" s="858"/>
      <c r="R17" s="858"/>
      <c r="S17" s="859"/>
      <c r="T17" s="891"/>
    </row>
    <row r="18" spans="1:20" ht="15" customHeight="1">
      <c r="A18" s="778"/>
      <c r="B18" s="786"/>
      <c r="C18" s="792"/>
      <c r="D18" s="786"/>
      <c r="E18" s="3637" t="s">
        <v>185</v>
      </c>
      <c r="F18" s="3638"/>
      <c r="G18" s="3638"/>
      <c r="H18" s="3638"/>
      <c r="I18" s="3638"/>
      <c r="J18" s="3638"/>
      <c r="K18" s="3638"/>
      <c r="L18" s="3638"/>
      <c r="M18" s="3638"/>
      <c r="N18" s="3638"/>
      <c r="O18" s="3638"/>
      <c r="P18" s="3639"/>
      <c r="Q18" s="645">
        <v>0</v>
      </c>
      <c r="R18" s="645">
        <v>30441000</v>
      </c>
      <c r="S18" s="646">
        <f>Q18-R18</f>
        <v>-30441000</v>
      </c>
      <c r="T18" s="647">
        <f t="shared" ref="T18" si="6">S18/R18</f>
        <v>-1</v>
      </c>
    </row>
    <row r="19" spans="1:20" ht="15" customHeight="1">
      <c r="A19" s="778"/>
      <c r="B19" s="786"/>
      <c r="C19" s="792"/>
      <c r="D19" s="635" t="s">
        <v>388</v>
      </c>
      <c r="E19" s="2229"/>
      <c r="F19" s="2010"/>
      <c r="G19" s="2011"/>
      <c r="H19" s="2012"/>
      <c r="I19" s="2012"/>
      <c r="J19" s="2012"/>
      <c r="K19" s="2012"/>
      <c r="L19" s="2013"/>
      <c r="M19" s="2012"/>
      <c r="N19" s="2014"/>
      <c r="O19" s="2014"/>
      <c r="P19" s="2012"/>
      <c r="Q19" s="638">
        <f>Q20+Q21+Q22+Q32+Q37+Q46+Q47+Q53+Q67+Q70+Q75+Q83+Q84+Q85+Q86+Q91+Q96</f>
        <v>209331000</v>
      </c>
      <c r="R19" s="638">
        <f>R20+R21+R22+R32+R37+R46+R47+R53+R67+R70+R75+R83+R84+R85+R86+R91+R96</f>
        <v>325265000</v>
      </c>
      <c r="S19" s="793">
        <f>Q19-R19</f>
        <v>-115934000</v>
      </c>
      <c r="T19" s="873">
        <f t="shared" ref="T19:T20" si="7">S19/R19</f>
        <v>-0.3564293729728068</v>
      </c>
    </row>
    <row r="20" spans="1:20" ht="15" customHeight="1">
      <c r="A20" s="778"/>
      <c r="B20" s="786"/>
      <c r="C20" s="792"/>
      <c r="D20" s="786"/>
      <c r="E20" s="3637" t="s">
        <v>55</v>
      </c>
      <c r="F20" s="3638"/>
      <c r="G20" s="3638"/>
      <c r="H20" s="3638"/>
      <c r="I20" s="3638"/>
      <c r="J20" s="3638"/>
      <c r="K20" s="3638"/>
      <c r="L20" s="3638"/>
      <c r="M20" s="3638"/>
      <c r="N20" s="3638"/>
      <c r="O20" s="3638"/>
      <c r="P20" s="3639"/>
      <c r="Q20" s="645">
        <v>0</v>
      </c>
      <c r="R20" s="645">
        <v>57212000</v>
      </c>
      <c r="S20" s="646">
        <f>Q20-R20</f>
        <v>-57212000</v>
      </c>
      <c r="T20" s="647">
        <f t="shared" si="7"/>
        <v>-1</v>
      </c>
    </row>
    <row r="21" spans="1:20" ht="15" customHeight="1">
      <c r="A21" s="778"/>
      <c r="B21" s="786"/>
      <c r="C21" s="792"/>
      <c r="D21" s="786"/>
      <c r="E21" s="3637" t="s">
        <v>3115</v>
      </c>
      <c r="F21" s="3638"/>
      <c r="G21" s="3638"/>
      <c r="H21" s="3638"/>
      <c r="I21" s="3638"/>
      <c r="J21" s="3638"/>
      <c r="K21" s="3638"/>
      <c r="L21" s="3638"/>
      <c r="M21" s="3638"/>
      <c r="N21" s="3638"/>
      <c r="O21" s="3638"/>
      <c r="P21" s="3639"/>
      <c r="Q21" s="645">
        <v>0</v>
      </c>
      <c r="R21" s="2015">
        <v>12760000</v>
      </c>
      <c r="S21" s="646">
        <f>Q21-R21</f>
        <v>-12760000</v>
      </c>
      <c r="T21" s="647">
        <f t="shared" ref="T21" si="8">S21/R21</f>
        <v>-1</v>
      </c>
    </row>
    <row r="22" spans="1:20" ht="15" customHeight="1">
      <c r="A22" s="778"/>
      <c r="B22" s="786"/>
      <c r="C22" s="792"/>
      <c r="D22" s="786"/>
      <c r="E22" s="3637" t="s">
        <v>188</v>
      </c>
      <c r="F22" s="3638"/>
      <c r="G22" s="3638"/>
      <c r="H22" s="3638"/>
      <c r="I22" s="3638"/>
      <c r="J22" s="3638"/>
      <c r="K22" s="3638"/>
      <c r="L22" s="3638"/>
      <c r="M22" s="3638"/>
      <c r="N22" s="3638"/>
      <c r="O22" s="3638"/>
      <c r="P22" s="3639"/>
      <c r="Q22" s="645">
        <f>P23+P25+P27</f>
        <v>13530000</v>
      </c>
      <c r="R22" s="645">
        <v>8505000</v>
      </c>
      <c r="S22" s="646">
        <f>Q22-R22</f>
        <v>5025000</v>
      </c>
      <c r="T22" s="647">
        <f t="shared" ref="T22:T23" si="9">S22/R22</f>
        <v>0.59082892416225752</v>
      </c>
    </row>
    <row r="23" spans="1:20" ht="15" customHeight="1">
      <c r="A23" s="778"/>
      <c r="B23" s="786"/>
      <c r="C23" s="792"/>
      <c r="D23" s="786"/>
      <c r="F23" s="2002" t="s">
        <v>498</v>
      </c>
      <c r="G23" s="1004"/>
      <c r="H23" s="992"/>
      <c r="I23" s="992"/>
      <c r="J23" s="992"/>
      <c r="K23" s="992"/>
      <c r="L23" s="2003"/>
      <c r="M23" s="992"/>
      <c r="N23" s="1022"/>
      <c r="O23" s="1022"/>
      <c r="P23" s="994">
        <f>SUM(P24:P24)</f>
        <v>600000</v>
      </c>
      <c r="Q23" s="1018">
        <f>P23</f>
        <v>600000</v>
      </c>
      <c r="R23" s="2004">
        <v>1575000</v>
      </c>
      <c r="S23" s="2005">
        <f t="shared" ref="S23" si="10">Q23-R23</f>
        <v>-975000</v>
      </c>
      <c r="T23" s="2006">
        <f t="shared" si="9"/>
        <v>-0.61904761904761907</v>
      </c>
    </row>
    <row r="24" spans="1:20" ht="15" customHeight="1">
      <c r="A24" s="778"/>
      <c r="B24" s="786"/>
      <c r="C24" s="792"/>
      <c r="D24" s="786"/>
      <c r="F24" s="1522" t="s">
        <v>1643</v>
      </c>
      <c r="G24" s="1516">
        <v>50000</v>
      </c>
      <c r="H24" s="1523" t="s">
        <v>125</v>
      </c>
      <c r="I24" s="1524">
        <v>12</v>
      </c>
      <c r="J24" s="1523"/>
      <c r="K24" s="1524"/>
      <c r="L24" s="1525"/>
      <c r="M24" s="1524"/>
      <c r="N24" s="1526"/>
      <c r="O24" s="1526" t="s">
        <v>122</v>
      </c>
      <c r="P24" s="1527">
        <f>ROUNDUP(G24*I24,-3)</f>
        <v>600000</v>
      </c>
      <c r="Q24" s="2016"/>
      <c r="R24" s="2017"/>
      <c r="S24" s="2018"/>
      <c r="T24" s="2019"/>
    </row>
    <row r="25" spans="1:20" ht="15" customHeight="1">
      <c r="A25" s="778"/>
      <c r="B25" s="786"/>
      <c r="C25" s="792"/>
      <c r="D25" s="786"/>
      <c r="F25" s="2002" t="s">
        <v>1644</v>
      </c>
      <c r="G25" s="1004"/>
      <c r="H25" s="992"/>
      <c r="I25" s="992"/>
      <c r="J25" s="992"/>
      <c r="K25" s="992"/>
      <c r="L25" s="2003"/>
      <c r="M25" s="992"/>
      <c r="N25" s="1022"/>
      <c r="O25" s="1022"/>
      <c r="P25" s="994">
        <f>SUM(P26:P26)</f>
        <v>10800000</v>
      </c>
      <c r="Q25" s="1018">
        <f>P25</f>
        <v>10800000</v>
      </c>
      <c r="R25" s="2004">
        <v>4900000</v>
      </c>
      <c r="S25" s="2005">
        <f t="shared" ref="S25" si="11">Q25-R25</f>
        <v>5900000</v>
      </c>
      <c r="T25" s="2006">
        <f t="shared" ref="T25" si="12">S25/R25</f>
        <v>1.2040816326530612</v>
      </c>
    </row>
    <row r="26" spans="1:20" ht="15" customHeight="1">
      <c r="A26" s="778"/>
      <c r="B26" s="786"/>
      <c r="C26" s="792"/>
      <c r="D26" s="786"/>
      <c r="E26" s="3282"/>
      <c r="F26" s="1522" t="s">
        <v>1645</v>
      </c>
      <c r="G26" s="1516">
        <v>900000</v>
      </c>
      <c r="H26" s="1523" t="s">
        <v>1646</v>
      </c>
      <c r="I26" s="1524">
        <v>12</v>
      </c>
      <c r="J26" s="1523"/>
      <c r="K26" s="1524"/>
      <c r="L26" s="1525"/>
      <c r="M26" s="1524"/>
      <c r="N26" s="1526"/>
      <c r="O26" s="1526" t="s">
        <v>1637</v>
      </c>
      <c r="P26" s="1527">
        <f>ROUNDUP(G26*I26,-3)</f>
        <v>10800000</v>
      </c>
      <c r="Q26" s="2016"/>
      <c r="R26" s="2017"/>
      <c r="S26" s="2018"/>
      <c r="T26" s="2019"/>
    </row>
    <row r="27" spans="1:20" ht="15" customHeight="1">
      <c r="A27" s="778"/>
      <c r="B27" s="786"/>
      <c r="C27" s="792"/>
      <c r="D27" s="786"/>
      <c r="E27" s="786"/>
      <c r="F27" s="2002" t="s">
        <v>1647</v>
      </c>
      <c r="G27" s="1004"/>
      <c r="H27" s="992"/>
      <c r="I27" s="992"/>
      <c r="J27" s="992"/>
      <c r="K27" s="992"/>
      <c r="L27" s="2003"/>
      <c r="M27" s="992"/>
      <c r="N27" s="1022"/>
      <c r="O27" s="1022"/>
      <c r="P27" s="994">
        <f>SUM(P28:P31)</f>
        <v>2130000</v>
      </c>
      <c r="Q27" s="1018">
        <f>P27</f>
        <v>2130000</v>
      </c>
      <c r="R27" s="2004">
        <v>2030000</v>
      </c>
      <c r="S27" s="2005">
        <f t="shared" ref="S27" si="13">Q27-R27</f>
        <v>100000</v>
      </c>
      <c r="T27" s="2006">
        <f t="shared" ref="T27" si="14">S27/R27</f>
        <v>4.9261083743842367E-2</v>
      </c>
    </row>
    <row r="28" spans="1:20" ht="15" customHeight="1">
      <c r="A28" s="778"/>
      <c r="B28" s="786"/>
      <c r="C28" s="792"/>
      <c r="D28" s="786"/>
      <c r="E28" s="3311"/>
      <c r="F28" s="1522" t="s">
        <v>1648</v>
      </c>
      <c r="G28" s="1516">
        <v>50000</v>
      </c>
      <c r="H28" s="1523" t="s">
        <v>1649</v>
      </c>
      <c r="I28" s="2020">
        <v>1</v>
      </c>
      <c r="J28" s="1523"/>
      <c r="K28" s="1524"/>
      <c r="L28" s="1525"/>
      <c r="M28" s="1524"/>
      <c r="N28" s="1526"/>
      <c r="O28" s="1526" t="s">
        <v>1650</v>
      </c>
      <c r="P28" s="1527">
        <f>ROUNDUP(G28*I28,-3)</f>
        <v>50000</v>
      </c>
      <c r="Q28" s="806"/>
      <c r="R28" s="2021"/>
      <c r="S28" s="2022"/>
      <c r="T28" s="2023"/>
    </row>
    <row r="29" spans="1:20" ht="15" customHeight="1">
      <c r="A29" s="778"/>
      <c r="B29" s="786"/>
      <c r="C29" s="792"/>
      <c r="D29" s="786"/>
      <c r="E29" s="3311"/>
      <c r="F29" s="1522" t="s">
        <v>1651</v>
      </c>
      <c r="G29" s="1516">
        <v>100000</v>
      </c>
      <c r="H29" s="1523" t="s">
        <v>125</v>
      </c>
      <c r="I29" s="2020">
        <v>1</v>
      </c>
      <c r="J29" s="1523"/>
      <c r="K29" s="1524"/>
      <c r="L29" s="1525"/>
      <c r="M29" s="1524"/>
      <c r="N29" s="1526"/>
      <c r="O29" s="1526" t="s">
        <v>122</v>
      </c>
      <c r="P29" s="1527">
        <f>ROUNDUP(G29*I29,-3)</f>
        <v>100000</v>
      </c>
      <c r="Q29" s="806"/>
      <c r="R29" s="2021"/>
      <c r="S29" s="2022"/>
      <c r="T29" s="2023"/>
    </row>
    <row r="30" spans="1:20" ht="15" customHeight="1">
      <c r="A30" s="778"/>
      <c r="B30" s="786"/>
      <c r="C30" s="792"/>
      <c r="D30" s="786"/>
      <c r="E30" s="3311"/>
      <c r="F30" s="1522" t="s">
        <v>1652</v>
      </c>
      <c r="G30" s="1516">
        <v>1100000</v>
      </c>
      <c r="H30" s="1523" t="s">
        <v>125</v>
      </c>
      <c r="I30" s="2020">
        <v>1</v>
      </c>
      <c r="J30" s="1523"/>
      <c r="K30" s="1524"/>
      <c r="L30" s="1525"/>
      <c r="M30" s="1524"/>
      <c r="N30" s="1526"/>
      <c r="O30" s="1526" t="s">
        <v>122</v>
      </c>
      <c r="P30" s="1527">
        <f>ROUNDUP(G30*I30,-3)</f>
        <v>1100000</v>
      </c>
      <c r="Q30" s="806"/>
      <c r="R30" s="2021"/>
      <c r="S30" s="2022"/>
      <c r="T30" s="2023"/>
    </row>
    <row r="31" spans="1:20" ht="15" customHeight="1">
      <c r="A31" s="778"/>
      <c r="B31" s="786"/>
      <c r="C31" s="792"/>
      <c r="D31" s="786"/>
      <c r="E31" s="3312"/>
      <c r="F31" s="2024" t="s">
        <v>1653</v>
      </c>
      <c r="G31" s="2025">
        <v>880000</v>
      </c>
      <c r="H31" s="2026" t="s">
        <v>125</v>
      </c>
      <c r="I31" s="2027">
        <v>1</v>
      </c>
      <c r="J31" s="2026"/>
      <c r="K31" s="2028"/>
      <c r="L31" s="2029"/>
      <c r="M31" s="2028"/>
      <c r="N31" s="823"/>
      <c r="O31" s="823" t="s">
        <v>1654</v>
      </c>
      <c r="P31" s="1533">
        <f>ROUNDUP(G31*I31,-3)</f>
        <v>880000</v>
      </c>
      <c r="Q31" s="828"/>
      <c r="R31" s="2030"/>
      <c r="S31" s="2031"/>
      <c r="T31" s="2023"/>
    </row>
    <row r="32" spans="1:20" ht="15" customHeight="1">
      <c r="A32" s="778"/>
      <c r="B32" s="786"/>
      <c r="C32" s="792"/>
      <c r="D32" s="786"/>
      <c r="E32" s="3637" t="s">
        <v>3016</v>
      </c>
      <c r="F32" s="3638"/>
      <c r="G32" s="3638"/>
      <c r="H32" s="3638"/>
      <c r="I32" s="3638"/>
      <c r="J32" s="3638"/>
      <c r="K32" s="3638"/>
      <c r="L32" s="3638"/>
      <c r="M32" s="3638"/>
      <c r="N32" s="3638"/>
      <c r="O32" s="3638"/>
      <c r="P32" s="3639"/>
      <c r="Q32" s="1049">
        <f>P33</f>
        <v>75360000</v>
      </c>
      <c r="R32" s="1049">
        <v>36820000</v>
      </c>
      <c r="S32" s="1050">
        <f>Q32-R32</f>
        <v>38540000</v>
      </c>
      <c r="T32" s="647">
        <f t="shared" ref="T32:T33" si="15">S32/R32</f>
        <v>1.0467137425312329</v>
      </c>
    </row>
    <row r="33" spans="1:20" ht="15" customHeight="1">
      <c r="A33" s="778"/>
      <c r="B33" s="786"/>
      <c r="C33" s="792"/>
      <c r="D33" s="786"/>
      <c r="F33" s="2002" t="s">
        <v>1655</v>
      </c>
      <c r="G33" s="1004"/>
      <c r="H33" s="992"/>
      <c r="I33" s="992"/>
      <c r="J33" s="992"/>
      <c r="K33" s="992"/>
      <c r="L33" s="2003"/>
      <c r="M33" s="992"/>
      <c r="N33" s="1022"/>
      <c r="O33" s="1022"/>
      <c r="P33" s="994">
        <f>SUM(P34:P36)</f>
        <v>75360000</v>
      </c>
      <c r="Q33" s="1018">
        <f>P33</f>
        <v>75360000</v>
      </c>
      <c r="R33" s="2004">
        <v>36820000</v>
      </c>
      <c r="S33" s="2005">
        <f t="shared" ref="S33" si="16">Q33-R33</f>
        <v>38540000</v>
      </c>
      <c r="T33" s="2006">
        <f t="shared" si="15"/>
        <v>1.0467137425312329</v>
      </c>
    </row>
    <row r="34" spans="1:20" ht="15" customHeight="1">
      <c r="A34" s="778"/>
      <c r="B34" s="786"/>
      <c r="C34" s="792"/>
      <c r="D34" s="786"/>
      <c r="E34" s="3311"/>
      <c r="F34" s="1522" t="s">
        <v>1656</v>
      </c>
      <c r="G34" s="1516">
        <v>220</v>
      </c>
      <c r="H34" s="1523" t="s">
        <v>1657</v>
      </c>
      <c r="I34" s="1524">
        <v>12</v>
      </c>
      <c r="J34" s="1523" t="s">
        <v>21</v>
      </c>
      <c r="K34" s="3786">
        <v>19000</v>
      </c>
      <c r="L34" s="3786"/>
      <c r="M34" s="1524"/>
      <c r="N34" s="1526"/>
      <c r="O34" s="1526" t="s">
        <v>122</v>
      </c>
      <c r="P34" s="1527">
        <f>G34*I34*K34</f>
        <v>50160000</v>
      </c>
      <c r="Q34" s="806"/>
      <c r="R34" s="2021"/>
      <c r="S34" s="2022"/>
      <c r="T34" s="2023"/>
    </row>
    <row r="35" spans="1:20" ht="15" customHeight="1">
      <c r="A35" s="778"/>
      <c r="B35" s="786"/>
      <c r="C35" s="792"/>
      <c r="D35" s="786"/>
      <c r="E35" s="3289"/>
      <c r="F35" s="1528" t="s">
        <v>1658</v>
      </c>
      <c r="G35" s="2007">
        <v>1500000</v>
      </c>
      <c r="H35" s="1523" t="s">
        <v>1657</v>
      </c>
      <c r="I35" s="1524">
        <v>12</v>
      </c>
      <c r="J35" s="1523"/>
      <c r="K35" s="1524"/>
      <c r="L35" s="1525"/>
      <c r="M35" s="1524"/>
      <c r="N35" s="1526"/>
      <c r="O35" s="1526" t="s">
        <v>1659</v>
      </c>
      <c r="P35" s="1527">
        <f>ROUNDUP(G35*I35,-3)</f>
        <v>18000000</v>
      </c>
      <c r="Q35" s="2016"/>
      <c r="R35" s="2017"/>
      <c r="S35" s="2018"/>
      <c r="T35" s="2019"/>
    </row>
    <row r="36" spans="1:20" ht="15" customHeight="1">
      <c r="A36" s="778"/>
      <c r="B36" s="786"/>
      <c r="C36" s="792"/>
      <c r="D36" s="786"/>
      <c r="E36" s="3289"/>
      <c r="F36" s="1528" t="s">
        <v>1660</v>
      </c>
      <c r="G36" s="2007">
        <v>600000</v>
      </c>
      <c r="H36" s="1523" t="s">
        <v>1657</v>
      </c>
      <c r="I36" s="1524">
        <v>12</v>
      </c>
      <c r="J36" s="1523"/>
      <c r="K36" s="1524"/>
      <c r="L36" s="1525"/>
      <c r="M36" s="1524"/>
      <c r="N36" s="1526"/>
      <c r="O36" s="1526" t="s">
        <v>1659</v>
      </c>
      <c r="P36" s="1527">
        <f>ROUNDUP(G36*I36,-3)</f>
        <v>7200000</v>
      </c>
      <c r="Q36" s="1006"/>
      <c r="R36" s="2032"/>
      <c r="S36" s="2033"/>
      <c r="T36" s="2034"/>
    </row>
    <row r="37" spans="1:20" ht="15" customHeight="1">
      <c r="A37" s="778"/>
      <c r="B37" s="786"/>
      <c r="C37" s="792"/>
      <c r="D37" s="786"/>
      <c r="E37" s="3637" t="s">
        <v>3116</v>
      </c>
      <c r="F37" s="3638"/>
      <c r="G37" s="3638"/>
      <c r="H37" s="3638"/>
      <c r="I37" s="3638"/>
      <c r="J37" s="3638"/>
      <c r="K37" s="3638"/>
      <c r="L37" s="3638"/>
      <c r="M37" s="3638"/>
      <c r="N37" s="3638"/>
      <c r="O37" s="3638"/>
      <c r="P37" s="3639"/>
      <c r="Q37" s="645">
        <f>P38+P41+P43</f>
        <v>9726000</v>
      </c>
      <c r="R37" s="645">
        <f>SUM(R38:R45)</f>
        <v>8476000</v>
      </c>
      <c r="S37" s="646">
        <f>Q37-R37</f>
        <v>1250000</v>
      </c>
      <c r="T37" s="647">
        <f t="shared" ref="T37:T38" si="17">S37/R37</f>
        <v>0.14747522416234074</v>
      </c>
    </row>
    <row r="38" spans="1:20" ht="15" customHeight="1">
      <c r="A38" s="778"/>
      <c r="B38" s="786"/>
      <c r="C38" s="792"/>
      <c r="D38" s="786"/>
      <c r="E38" s="786"/>
      <c r="F38" s="2002" t="s">
        <v>1661</v>
      </c>
      <c r="G38" s="1004"/>
      <c r="H38" s="992"/>
      <c r="I38" s="992"/>
      <c r="J38" s="992"/>
      <c r="K38" s="992"/>
      <c r="L38" s="2003"/>
      <c r="M38" s="992"/>
      <c r="N38" s="1022"/>
      <c r="O38" s="1022"/>
      <c r="P38" s="994">
        <f>SUM(P39:P40)</f>
        <v>5400000</v>
      </c>
      <c r="Q38" s="1018">
        <f>P38</f>
        <v>5400000</v>
      </c>
      <c r="R38" s="2004">
        <v>3200000</v>
      </c>
      <c r="S38" s="2005">
        <f t="shared" ref="S38" si="18">Q38-R38</f>
        <v>2200000</v>
      </c>
      <c r="T38" s="2006">
        <f t="shared" si="17"/>
        <v>0.6875</v>
      </c>
    </row>
    <row r="39" spans="1:20" ht="15" customHeight="1">
      <c r="A39" s="778"/>
      <c r="B39" s="786"/>
      <c r="C39" s="792"/>
      <c r="D39" s="786"/>
      <c r="E39" s="786"/>
      <c r="F39" s="1522" t="s">
        <v>1662</v>
      </c>
      <c r="G39" s="1516">
        <v>300000</v>
      </c>
      <c r="H39" s="1523" t="s">
        <v>1663</v>
      </c>
      <c r="I39" s="2020">
        <v>12</v>
      </c>
      <c r="J39" s="1523"/>
      <c r="K39" s="1524"/>
      <c r="L39" s="1525"/>
      <c r="M39" s="1524"/>
      <c r="N39" s="1526"/>
      <c r="O39" s="1526" t="s">
        <v>1664</v>
      </c>
      <c r="P39" s="1527">
        <f>ROUNDUP(G39*I39,-3)</f>
        <v>3600000</v>
      </c>
      <c r="Q39" s="2016"/>
      <c r="R39" s="2017"/>
      <c r="S39" s="2018"/>
      <c r="T39" s="2019"/>
    </row>
    <row r="40" spans="1:20" ht="15" customHeight="1">
      <c r="A40" s="778"/>
      <c r="B40" s="786"/>
      <c r="C40" s="792"/>
      <c r="D40" s="786"/>
      <c r="E40" s="786"/>
      <c r="F40" s="1528" t="s">
        <v>1665</v>
      </c>
      <c r="G40" s="2007">
        <v>150000</v>
      </c>
      <c r="H40" s="1523" t="s">
        <v>1666</v>
      </c>
      <c r="I40" s="2020">
        <v>12</v>
      </c>
      <c r="J40" s="1523"/>
      <c r="K40" s="1524"/>
      <c r="L40" s="1525"/>
      <c r="M40" s="1524"/>
      <c r="N40" s="1526"/>
      <c r="O40" s="1526" t="s">
        <v>1667</v>
      </c>
      <c r="P40" s="1527">
        <f>ROUNDUP(G40*I40,-3)</f>
        <v>1800000</v>
      </c>
      <c r="Q40" s="2016"/>
      <c r="R40" s="2017"/>
      <c r="S40" s="2018"/>
      <c r="T40" s="2019"/>
    </row>
    <row r="41" spans="1:20" ht="15" customHeight="1">
      <c r="A41" s="778"/>
      <c r="B41" s="786"/>
      <c r="C41" s="792"/>
      <c r="D41" s="786"/>
      <c r="E41" s="786"/>
      <c r="F41" s="2002" t="s">
        <v>1668</v>
      </c>
      <c r="G41" s="1004"/>
      <c r="H41" s="992"/>
      <c r="I41" s="992"/>
      <c r="J41" s="992"/>
      <c r="K41" s="992"/>
      <c r="L41" s="2003"/>
      <c r="M41" s="992"/>
      <c r="N41" s="1022"/>
      <c r="O41" s="1022"/>
      <c r="P41" s="994">
        <f>SUM(P42)</f>
        <v>726000</v>
      </c>
      <c r="Q41" s="1018">
        <f>P41</f>
        <v>726000</v>
      </c>
      <c r="R41" s="2004">
        <v>726000</v>
      </c>
      <c r="S41" s="2005">
        <f t="shared" ref="S41" si="19">Q41-R41</f>
        <v>0</v>
      </c>
      <c r="T41" s="2006">
        <f t="shared" ref="T41" si="20">S41/R41</f>
        <v>0</v>
      </c>
    </row>
    <row r="42" spans="1:20" ht="15" customHeight="1">
      <c r="A42" s="1130"/>
      <c r="B42" s="846"/>
      <c r="C42" s="780"/>
      <c r="D42" s="846"/>
      <c r="E42" s="846"/>
      <c r="F42" s="2024" t="s">
        <v>1669</v>
      </c>
      <c r="G42" s="2025">
        <v>726000</v>
      </c>
      <c r="H42" s="2026" t="s">
        <v>1666</v>
      </c>
      <c r="I42" s="2027">
        <v>1</v>
      </c>
      <c r="J42" s="2026"/>
      <c r="K42" s="2028"/>
      <c r="L42" s="2029"/>
      <c r="M42" s="2028"/>
      <c r="N42" s="823"/>
      <c r="O42" s="823" t="s">
        <v>1667</v>
      </c>
      <c r="P42" s="1533">
        <f>ROUNDUP(G42*I42,-3)</f>
        <v>726000</v>
      </c>
      <c r="Q42" s="2056"/>
      <c r="R42" s="2057"/>
      <c r="S42" s="2058"/>
      <c r="T42" s="3038"/>
    </row>
    <row r="43" spans="1:20" ht="15" customHeight="1">
      <c r="A43" s="778"/>
      <c r="B43" s="786"/>
      <c r="C43" s="792"/>
      <c r="D43" s="786"/>
      <c r="E43" s="786"/>
      <c r="F43" s="2002" t="s">
        <v>1670</v>
      </c>
      <c r="G43" s="1004"/>
      <c r="H43" s="992"/>
      <c r="I43" s="992"/>
      <c r="J43" s="992"/>
      <c r="K43" s="992"/>
      <c r="L43" s="2003"/>
      <c r="M43" s="992"/>
      <c r="N43" s="1022"/>
      <c r="O43" s="1022"/>
      <c r="P43" s="994">
        <f>SUM(P44:P44)</f>
        <v>3600000</v>
      </c>
      <c r="Q43" s="1018">
        <f>P43</f>
        <v>3600000</v>
      </c>
      <c r="R43" s="2004">
        <v>4200000</v>
      </c>
      <c r="S43" s="2005">
        <f t="shared" ref="S43" si="21">Q43-R43</f>
        <v>-600000</v>
      </c>
      <c r="T43" s="2006">
        <f t="shared" ref="T43" si="22">S43/R43</f>
        <v>-0.14285714285714285</v>
      </c>
    </row>
    <row r="44" spans="1:20" ht="15" customHeight="1">
      <c r="A44" s="778"/>
      <c r="B44" s="786"/>
      <c r="C44" s="792"/>
      <c r="D44" s="786"/>
      <c r="E44" s="786"/>
      <c r="F44" s="1522" t="s">
        <v>1671</v>
      </c>
      <c r="G44" s="2035">
        <v>300000</v>
      </c>
      <c r="H44" s="996" t="s">
        <v>1663</v>
      </c>
      <c r="I44" s="1000">
        <v>12</v>
      </c>
      <c r="J44" s="996"/>
      <c r="K44" s="1000"/>
      <c r="L44" s="2036"/>
      <c r="M44" s="1000"/>
      <c r="N44" s="1001"/>
      <c r="O44" s="1001" t="s">
        <v>1672</v>
      </c>
      <c r="P44" s="2037">
        <f>ROUNDUP(G44*I44,-3)</f>
        <v>3600000</v>
      </c>
      <c r="Q44" s="806"/>
      <c r="R44" s="2021"/>
      <c r="S44" s="2022"/>
      <c r="T44" s="2023"/>
    </row>
    <row r="45" spans="1:20" ht="15" customHeight="1">
      <c r="A45" s="778"/>
      <c r="B45" s="786"/>
      <c r="C45" s="792"/>
      <c r="D45" s="786"/>
      <c r="E45" s="846"/>
      <c r="F45" s="2038" t="s">
        <v>755</v>
      </c>
      <c r="G45" s="1028"/>
      <c r="H45" s="1027"/>
      <c r="I45" s="1027"/>
      <c r="J45" s="1027"/>
      <c r="K45" s="1027"/>
      <c r="L45" s="2039"/>
      <c r="M45" s="1027"/>
      <c r="N45" s="1031"/>
      <c r="O45" s="1031"/>
      <c r="P45" s="2040"/>
      <c r="Q45" s="1034">
        <f>P45</f>
        <v>0</v>
      </c>
      <c r="R45" s="2041">
        <v>350000</v>
      </c>
      <c r="S45" s="2042">
        <f t="shared" ref="S45" si="23">Q45-R45</f>
        <v>-350000</v>
      </c>
      <c r="T45" s="2043">
        <f t="shared" ref="T45" si="24">S45/R45</f>
        <v>-1</v>
      </c>
    </row>
    <row r="46" spans="1:20" ht="15" customHeight="1">
      <c r="A46" s="778"/>
      <c r="B46" s="786"/>
      <c r="C46" s="792"/>
      <c r="D46" s="786"/>
      <c r="E46" s="3637" t="s">
        <v>191</v>
      </c>
      <c r="F46" s="3638"/>
      <c r="G46" s="3638"/>
      <c r="H46" s="3638"/>
      <c r="I46" s="3638"/>
      <c r="J46" s="3638"/>
      <c r="K46" s="3638"/>
      <c r="L46" s="3638"/>
      <c r="M46" s="3638"/>
      <c r="N46" s="3638"/>
      <c r="O46" s="3638"/>
      <c r="P46" s="3639"/>
      <c r="Q46" s="1049">
        <v>0</v>
      </c>
      <c r="R46" s="1049">
        <v>3800000</v>
      </c>
      <c r="S46" s="1050">
        <f>Q46-R46</f>
        <v>-3800000</v>
      </c>
      <c r="T46" s="1051">
        <f t="shared" ref="T46" si="25">S46/R46</f>
        <v>-1</v>
      </c>
    </row>
    <row r="47" spans="1:20" ht="15" customHeight="1">
      <c r="A47" s="778"/>
      <c r="B47" s="786"/>
      <c r="C47" s="792"/>
      <c r="D47" s="786"/>
      <c r="E47" s="3637" t="s">
        <v>3117</v>
      </c>
      <c r="F47" s="3638"/>
      <c r="G47" s="3638"/>
      <c r="H47" s="3638"/>
      <c r="I47" s="3638"/>
      <c r="J47" s="3638"/>
      <c r="K47" s="3638"/>
      <c r="L47" s="3638"/>
      <c r="M47" s="3638"/>
      <c r="N47" s="3638"/>
      <c r="O47" s="3638"/>
      <c r="P47" s="3639"/>
      <c r="Q47" s="645">
        <f>P48</f>
        <v>19680000</v>
      </c>
      <c r="R47" s="645">
        <v>8435000</v>
      </c>
      <c r="S47" s="646">
        <f>Q47-R47</f>
        <v>11245000</v>
      </c>
      <c r="T47" s="647">
        <f t="shared" ref="T47:T48" si="26">S47/R47</f>
        <v>1.3331357439241256</v>
      </c>
    </row>
    <row r="48" spans="1:20" ht="15" customHeight="1">
      <c r="A48" s="778"/>
      <c r="B48" s="786"/>
      <c r="C48" s="792"/>
      <c r="D48" s="786"/>
      <c r="F48" s="2002" t="s">
        <v>1673</v>
      </c>
      <c r="G48" s="1004"/>
      <c r="H48" s="992"/>
      <c r="I48" s="992"/>
      <c r="J48" s="992"/>
      <c r="K48" s="992"/>
      <c r="L48" s="2003"/>
      <c r="M48" s="992"/>
      <c r="N48" s="1022"/>
      <c r="O48" s="1022"/>
      <c r="P48" s="994">
        <f>SUM(P49:P52)</f>
        <v>19680000</v>
      </c>
      <c r="Q48" s="1018">
        <f>P48</f>
        <v>19680000</v>
      </c>
      <c r="R48" s="2004">
        <v>8435000</v>
      </c>
      <c r="S48" s="2005">
        <f t="shared" ref="S48" si="27">Q48-R48</f>
        <v>11245000</v>
      </c>
      <c r="T48" s="2006">
        <f t="shared" si="26"/>
        <v>1.3331357439241256</v>
      </c>
    </row>
    <row r="49" spans="1:20" ht="15" customHeight="1">
      <c r="A49" s="778"/>
      <c r="B49" s="786"/>
      <c r="C49" s="792"/>
      <c r="D49" s="786"/>
      <c r="E49" s="3282"/>
      <c r="F49" s="1522" t="s">
        <v>1674</v>
      </c>
      <c r="G49" s="1516">
        <v>400000</v>
      </c>
      <c r="H49" s="1523" t="s">
        <v>125</v>
      </c>
      <c r="I49" s="2044">
        <v>1</v>
      </c>
      <c r="J49" s="1523" t="s">
        <v>21</v>
      </c>
      <c r="K49" s="1524">
        <v>12</v>
      </c>
      <c r="L49" s="1525"/>
      <c r="M49" s="1524"/>
      <c r="N49" s="1526"/>
      <c r="O49" s="1526" t="s">
        <v>122</v>
      </c>
      <c r="P49" s="1527">
        <f>ROUNDUP(G49*I49*K49,-3)</f>
        <v>4800000</v>
      </c>
      <c r="Q49" s="806"/>
      <c r="R49" s="2021"/>
      <c r="S49" s="2022"/>
      <c r="T49" s="2023"/>
    </row>
    <row r="50" spans="1:20" ht="15" customHeight="1">
      <c r="A50" s="778"/>
      <c r="B50" s="786"/>
      <c r="C50" s="792"/>
      <c r="D50" s="786"/>
      <c r="E50" s="3283"/>
      <c r="F50" s="1528" t="s">
        <v>1675</v>
      </c>
      <c r="G50" s="997">
        <v>440000</v>
      </c>
      <c r="H50" s="996" t="s">
        <v>1676</v>
      </c>
      <c r="I50" s="2045">
        <v>1</v>
      </c>
      <c r="J50" s="996" t="s">
        <v>21</v>
      </c>
      <c r="K50" s="1000">
        <v>12</v>
      </c>
      <c r="L50" s="2036"/>
      <c r="M50" s="1000"/>
      <c r="N50" s="1001"/>
      <c r="O50" s="1001" t="s">
        <v>1637</v>
      </c>
      <c r="P50" s="2037">
        <f>ROUNDUP(G50*I50*K50,-3)</f>
        <v>5280000</v>
      </c>
      <c r="Q50" s="2016"/>
      <c r="R50" s="2017"/>
      <c r="S50" s="2018"/>
      <c r="T50" s="2019"/>
    </row>
    <row r="51" spans="1:20" ht="15" customHeight="1">
      <c r="A51" s="778"/>
      <c r="B51" s="786"/>
      <c r="C51" s="792"/>
      <c r="D51" s="786"/>
      <c r="E51" s="3283"/>
      <c r="F51" s="1528" t="s">
        <v>1677</v>
      </c>
      <c r="G51" s="997">
        <v>50000</v>
      </c>
      <c r="H51" s="996" t="s">
        <v>1676</v>
      </c>
      <c r="I51" s="2045">
        <v>10</v>
      </c>
      <c r="J51" s="996" t="s">
        <v>21</v>
      </c>
      <c r="K51" s="1000">
        <v>12</v>
      </c>
      <c r="L51" s="2036"/>
      <c r="M51" s="1000"/>
      <c r="N51" s="1001"/>
      <c r="O51" s="1001" t="s">
        <v>1637</v>
      </c>
      <c r="P51" s="2037">
        <f>ROUNDUP(G51*I51*K51,-3)</f>
        <v>6000000</v>
      </c>
      <c r="Q51" s="2016"/>
      <c r="R51" s="2017"/>
      <c r="S51" s="2018"/>
      <c r="T51" s="2019"/>
    </row>
    <row r="52" spans="1:20" ht="15" customHeight="1">
      <c r="A52" s="778"/>
      <c r="B52" s="786"/>
      <c r="C52" s="792"/>
      <c r="D52" s="786"/>
      <c r="E52" s="3283"/>
      <c r="F52" s="1528" t="s">
        <v>1445</v>
      </c>
      <c r="G52" s="997">
        <v>37500</v>
      </c>
      <c r="H52" s="996" t="s">
        <v>1636</v>
      </c>
      <c r="I52" s="2045">
        <v>8</v>
      </c>
      <c r="J52" s="996" t="s">
        <v>21</v>
      </c>
      <c r="K52" s="1000">
        <v>12</v>
      </c>
      <c r="L52" s="2036"/>
      <c r="M52" s="1000"/>
      <c r="N52" s="1001"/>
      <c r="O52" s="1001" t="s">
        <v>122</v>
      </c>
      <c r="P52" s="2037">
        <f>ROUNDUP(G52*I52*K52,-3)</f>
        <v>3600000</v>
      </c>
      <c r="Q52" s="2016"/>
      <c r="R52" s="2017"/>
      <c r="S52" s="2018"/>
      <c r="T52" s="2019"/>
    </row>
    <row r="53" spans="1:20" ht="15" customHeight="1">
      <c r="A53" s="778"/>
      <c r="B53" s="786"/>
      <c r="C53" s="792"/>
      <c r="D53" s="786"/>
      <c r="E53" s="3637" t="s">
        <v>194</v>
      </c>
      <c r="F53" s="3638"/>
      <c r="G53" s="3638"/>
      <c r="H53" s="3638"/>
      <c r="I53" s="3638"/>
      <c r="J53" s="3638"/>
      <c r="K53" s="3638"/>
      <c r="L53" s="3638"/>
      <c r="M53" s="3638"/>
      <c r="N53" s="3638"/>
      <c r="O53" s="3638"/>
      <c r="P53" s="3639"/>
      <c r="Q53" s="645">
        <f>P54</f>
        <v>41200000</v>
      </c>
      <c r="R53" s="645">
        <v>28910000</v>
      </c>
      <c r="S53" s="646">
        <f>Q53-R53</f>
        <v>12290000</v>
      </c>
      <c r="T53" s="647">
        <f t="shared" ref="T53:T54" si="28">S53/R53</f>
        <v>0.42511241784849535</v>
      </c>
    </row>
    <row r="54" spans="1:20" ht="15" customHeight="1">
      <c r="A54" s="778"/>
      <c r="B54" s="786"/>
      <c r="C54" s="792"/>
      <c r="D54" s="786"/>
      <c r="F54" s="2002" t="s">
        <v>389</v>
      </c>
      <c r="G54" s="1004"/>
      <c r="H54" s="992"/>
      <c r="I54" s="992"/>
      <c r="J54" s="992"/>
      <c r="K54" s="992"/>
      <c r="L54" s="2003"/>
      <c r="M54" s="992"/>
      <c r="N54" s="1022"/>
      <c r="O54" s="1022"/>
      <c r="P54" s="994">
        <f>SUM(P55:P66)</f>
        <v>41200000</v>
      </c>
      <c r="Q54" s="1018">
        <f>P54</f>
        <v>41200000</v>
      </c>
      <c r="R54" s="2004">
        <v>28910000</v>
      </c>
      <c r="S54" s="2005">
        <f t="shared" ref="S54" si="29">Q54-R54</f>
        <v>12290000</v>
      </c>
      <c r="T54" s="2006">
        <f t="shared" si="28"/>
        <v>0.42511241784849535</v>
      </c>
    </row>
    <row r="55" spans="1:20" ht="15" customHeight="1">
      <c r="A55" s="778"/>
      <c r="B55" s="786"/>
      <c r="C55" s="792"/>
      <c r="D55" s="786"/>
      <c r="E55" s="3282"/>
      <c r="F55" s="1522" t="s">
        <v>1678</v>
      </c>
      <c r="G55" s="1516">
        <v>500000</v>
      </c>
      <c r="H55" s="1523" t="s">
        <v>125</v>
      </c>
      <c r="I55" s="2020">
        <v>2</v>
      </c>
      <c r="J55" s="1523"/>
      <c r="K55" s="1524"/>
      <c r="L55" s="1525"/>
      <c r="M55" s="1524"/>
      <c r="N55" s="1526"/>
      <c r="O55" s="1526" t="s">
        <v>1679</v>
      </c>
      <c r="P55" s="1527">
        <f t="shared" ref="P55:P62" si="30">ROUNDUP(G55*I55,-3)</f>
        <v>1000000</v>
      </c>
      <c r="Q55" s="806"/>
      <c r="R55" s="2021"/>
      <c r="S55" s="2046"/>
      <c r="T55" s="2023"/>
    </row>
    <row r="56" spans="1:20" ht="15" customHeight="1">
      <c r="A56" s="778"/>
      <c r="B56" s="786"/>
      <c r="C56" s="792"/>
      <c r="D56" s="786"/>
      <c r="E56" s="3282"/>
      <c r="F56" s="1522" t="s">
        <v>1680</v>
      </c>
      <c r="G56" s="1516">
        <v>3500000</v>
      </c>
      <c r="H56" s="1523" t="s">
        <v>1681</v>
      </c>
      <c r="I56" s="2020">
        <v>1</v>
      </c>
      <c r="J56" s="1523"/>
      <c r="K56" s="1524"/>
      <c r="L56" s="1525"/>
      <c r="M56" s="1524"/>
      <c r="N56" s="1526"/>
      <c r="O56" s="1526" t="s">
        <v>122</v>
      </c>
      <c r="P56" s="1527">
        <f t="shared" si="30"/>
        <v>3500000</v>
      </c>
      <c r="Q56" s="806"/>
      <c r="R56" s="2021"/>
      <c r="S56" s="2046"/>
      <c r="T56" s="2023"/>
    </row>
    <row r="57" spans="1:20" ht="15" customHeight="1">
      <c r="A57" s="778"/>
      <c r="B57" s="786"/>
      <c r="C57" s="792"/>
      <c r="D57" s="786"/>
      <c r="E57" s="3282"/>
      <c r="F57" s="2047" t="s">
        <v>1448</v>
      </c>
      <c r="G57" s="2035">
        <v>2500000</v>
      </c>
      <c r="H57" s="996" t="s">
        <v>125</v>
      </c>
      <c r="I57" s="2048">
        <v>2</v>
      </c>
      <c r="J57" s="996"/>
      <c r="K57" s="1000"/>
      <c r="L57" s="2036"/>
      <c r="M57" s="1000"/>
      <c r="N57" s="1001"/>
      <c r="O57" s="1001" t="s">
        <v>1679</v>
      </c>
      <c r="P57" s="1527">
        <f t="shared" si="30"/>
        <v>5000000</v>
      </c>
      <c r="Q57" s="806"/>
      <c r="R57" s="2021"/>
      <c r="S57" s="2046"/>
      <c r="T57" s="2023"/>
    </row>
    <row r="58" spans="1:20" ht="15" customHeight="1">
      <c r="A58" s="778"/>
      <c r="B58" s="786"/>
      <c r="C58" s="792"/>
      <c r="D58" s="786"/>
      <c r="E58" s="3282"/>
      <c r="F58" s="2047" t="s">
        <v>2926</v>
      </c>
      <c r="G58" s="2035">
        <v>2100000</v>
      </c>
      <c r="H58" s="996" t="s">
        <v>2927</v>
      </c>
      <c r="I58" s="2049">
        <v>1</v>
      </c>
      <c r="J58" s="996"/>
      <c r="K58" s="1000"/>
      <c r="L58" s="2036"/>
      <c r="M58" s="1000"/>
      <c r="N58" s="1001"/>
      <c r="O58" s="1001" t="s">
        <v>206</v>
      </c>
      <c r="P58" s="2037">
        <f t="shared" si="30"/>
        <v>2100000</v>
      </c>
      <c r="Q58" s="806"/>
      <c r="R58" s="2021"/>
      <c r="S58" s="2050"/>
      <c r="T58" s="2023"/>
    </row>
    <row r="59" spans="1:20" ht="15" customHeight="1">
      <c r="A59" s="778"/>
      <c r="B59" s="786"/>
      <c r="C59" s="792"/>
      <c r="D59" s="786"/>
      <c r="E59" s="3282"/>
      <c r="F59" s="2047" t="s">
        <v>2928</v>
      </c>
      <c r="G59" s="2035">
        <v>2300000</v>
      </c>
      <c r="H59" s="996" t="s">
        <v>2927</v>
      </c>
      <c r="I59" s="2049">
        <v>1</v>
      </c>
      <c r="J59" s="996"/>
      <c r="K59" s="1000"/>
      <c r="L59" s="2036"/>
      <c r="M59" s="1000"/>
      <c r="N59" s="1001"/>
      <c r="O59" s="1001" t="s">
        <v>206</v>
      </c>
      <c r="P59" s="2037">
        <f t="shared" si="30"/>
        <v>2300000</v>
      </c>
      <c r="Q59" s="806"/>
      <c r="R59" s="2021"/>
      <c r="S59" s="2050"/>
      <c r="T59" s="2023"/>
    </row>
    <row r="60" spans="1:20" ht="15" customHeight="1">
      <c r="A60" s="778"/>
      <c r="B60" s="786"/>
      <c r="C60" s="792"/>
      <c r="D60" s="786"/>
      <c r="E60" s="3282"/>
      <c r="F60" s="2047" t="s">
        <v>2929</v>
      </c>
      <c r="G60" s="2035">
        <v>7600000</v>
      </c>
      <c r="H60" s="996" t="s">
        <v>51</v>
      </c>
      <c r="I60" s="2049">
        <v>1</v>
      </c>
      <c r="J60" s="996"/>
      <c r="K60" s="1000"/>
      <c r="L60" s="2036"/>
      <c r="M60" s="1000"/>
      <c r="N60" s="1001"/>
      <c r="O60" s="1001" t="s">
        <v>2930</v>
      </c>
      <c r="P60" s="2037">
        <f t="shared" si="30"/>
        <v>7600000</v>
      </c>
      <c r="Q60" s="806"/>
      <c r="R60" s="2021"/>
      <c r="S60" s="2050"/>
      <c r="T60" s="2023"/>
    </row>
    <row r="61" spans="1:20" ht="15" customHeight="1">
      <c r="A61" s="778"/>
      <c r="B61" s="786"/>
      <c r="C61" s="792"/>
      <c r="D61" s="786"/>
      <c r="E61" s="3282"/>
      <c r="F61" s="2047" t="s">
        <v>1682</v>
      </c>
      <c r="G61" s="2035">
        <v>200000</v>
      </c>
      <c r="H61" s="996" t="s">
        <v>1683</v>
      </c>
      <c r="I61" s="1000">
        <v>12</v>
      </c>
      <c r="J61" s="996"/>
      <c r="K61" s="1000"/>
      <c r="L61" s="2036"/>
      <c r="M61" s="1000"/>
      <c r="N61" s="1001"/>
      <c r="O61" s="1001" t="s">
        <v>122</v>
      </c>
      <c r="P61" s="1527">
        <f t="shared" si="30"/>
        <v>2400000</v>
      </c>
      <c r="Q61" s="806"/>
      <c r="R61" s="2021"/>
      <c r="S61" s="2046"/>
      <c r="T61" s="2023"/>
    </row>
    <row r="62" spans="1:20" ht="15" customHeight="1">
      <c r="A62" s="778"/>
      <c r="B62" s="786"/>
      <c r="C62" s="792"/>
      <c r="D62" s="786"/>
      <c r="E62" s="3282"/>
      <c r="F62" s="1522" t="s">
        <v>1684</v>
      </c>
      <c r="G62" s="1516">
        <v>500000</v>
      </c>
      <c r="H62" s="1523" t="s">
        <v>125</v>
      </c>
      <c r="I62" s="2051">
        <v>4</v>
      </c>
      <c r="J62" s="1523"/>
      <c r="K62" s="1524"/>
      <c r="L62" s="1525"/>
      <c r="M62" s="1524"/>
      <c r="N62" s="1526"/>
      <c r="O62" s="1526" t="s">
        <v>1679</v>
      </c>
      <c r="P62" s="1527">
        <f t="shared" si="30"/>
        <v>2000000</v>
      </c>
      <c r="Q62" s="806"/>
      <c r="R62" s="2021"/>
      <c r="S62" s="2046"/>
      <c r="T62" s="2023"/>
    </row>
    <row r="63" spans="1:20" ht="15" customHeight="1">
      <c r="A63" s="778"/>
      <c r="B63" s="786"/>
      <c r="C63" s="792"/>
      <c r="D63" s="786"/>
      <c r="E63" s="3282"/>
      <c r="F63" s="1522" t="s">
        <v>1685</v>
      </c>
      <c r="G63" s="1516">
        <v>130000</v>
      </c>
      <c r="H63" s="1523" t="s">
        <v>1636</v>
      </c>
      <c r="I63" s="2052">
        <v>1</v>
      </c>
      <c r="J63" s="1523" t="s">
        <v>1636</v>
      </c>
      <c r="K63" s="1524">
        <v>12</v>
      </c>
      <c r="L63" s="1525"/>
      <c r="M63" s="1524"/>
      <c r="N63" s="1526"/>
      <c r="O63" s="1526" t="s">
        <v>1679</v>
      </c>
      <c r="P63" s="1527">
        <f>ROUNDUP(G63*I63*K63,-3)</f>
        <v>1560000</v>
      </c>
      <c r="Q63" s="806"/>
      <c r="R63" s="2021"/>
      <c r="S63" s="2050"/>
      <c r="T63" s="2023"/>
    </row>
    <row r="64" spans="1:20" ht="15" customHeight="1">
      <c r="A64" s="778"/>
      <c r="B64" s="786"/>
      <c r="C64" s="792"/>
      <c r="D64" s="786"/>
      <c r="E64" s="3282"/>
      <c r="F64" s="1522" t="s">
        <v>1686</v>
      </c>
      <c r="G64" s="1516">
        <v>6000000</v>
      </c>
      <c r="H64" s="1523" t="s">
        <v>125</v>
      </c>
      <c r="I64" s="2020">
        <v>1</v>
      </c>
      <c r="J64" s="1523"/>
      <c r="K64" s="1524"/>
      <c r="L64" s="1525"/>
      <c r="M64" s="1524"/>
      <c r="N64" s="1526"/>
      <c r="O64" s="1526" t="s">
        <v>122</v>
      </c>
      <c r="P64" s="1527">
        <f>ROUNDUP(G64*I64,-3)</f>
        <v>6000000</v>
      </c>
      <c r="Q64" s="806"/>
      <c r="R64" s="2021"/>
      <c r="S64" s="2046"/>
      <c r="T64" s="2023"/>
    </row>
    <row r="65" spans="1:20" ht="15" customHeight="1">
      <c r="A65" s="778"/>
      <c r="B65" s="786"/>
      <c r="C65" s="792"/>
      <c r="D65" s="786"/>
      <c r="E65" s="3282"/>
      <c r="F65" s="1522" t="s">
        <v>1455</v>
      </c>
      <c r="G65" s="1516">
        <v>495000</v>
      </c>
      <c r="H65" s="1523" t="s">
        <v>125</v>
      </c>
      <c r="I65" s="2053">
        <v>12</v>
      </c>
      <c r="J65" s="1523"/>
      <c r="K65" s="1524"/>
      <c r="L65" s="1525"/>
      <c r="M65" s="1524"/>
      <c r="N65" s="1526"/>
      <c r="O65" s="1526" t="s">
        <v>122</v>
      </c>
      <c r="P65" s="1527">
        <f>ROUNDUP(G65*I65,-3)</f>
        <v>5940000</v>
      </c>
      <c r="Q65" s="2016"/>
      <c r="R65" s="2017"/>
      <c r="S65" s="2054"/>
      <c r="T65" s="2019"/>
    </row>
    <row r="66" spans="1:20" ht="15" customHeight="1">
      <c r="A66" s="778"/>
      <c r="B66" s="786"/>
      <c r="C66" s="792"/>
      <c r="D66" s="786"/>
      <c r="E66" s="3282"/>
      <c r="F66" s="1522" t="s">
        <v>1457</v>
      </c>
      <c r="G66" s="1516">
        <v>150000</v>
      </c>
      <c r="H66" s="1523" t="s">
        <v>1636</v>
      </c>
      <c r="I66" s="1524">
        <v>12</v>
      </c>
      <c r="J66" s="1523"/>
      <c r="K66" s="1524"/>
      <c r="L66" s="1525"/>
      <c r="M66" s="1524"/>
      <c r="N66" s="1526"/>
      <c r="O66" s="1526" t="s">
        <v>1637</v>
      </c>
      <c r="P66" s="1527">
        <f>ROUNDUP(G66*I66,-3)</f>
        <v>1800000</v>
      </c>
      <c r="Q66" s="806"/>
      <c r="R66" s="2021"/>
      <c r="S66" s="2050"/>
      <c r="T66" s="2023"/>
    </row>
    <row r="67" spans="1:20" ht="15" customHeight="1">
      <c r="A67" s="778"/>
      <c r="B67" s="786"/>
      <c r="C67" s="792"/>
      <c r="D67" s="786"/>
      <c r="E67" s="3637" t="s">
        <v>196</v>
      </c>
      <c r="F67" s="3638"/>
      <c r="G67" s="3638"/>
      <c r="H67" s="3638"/>
      <c r="I67" s="3638"/>
      <c r="J67" s="3638"/>
      <c r="K67" s="3638"/>
      <c r="L67" s="3638"/>
      <c r="M67" s="3638"/>
      <c r="N67" s="3638"/>
      <c r="O67" s="3638"/>
      <c r="P67" s="3639"/>
      <c r="Q67" s="645">
        <f>P68</f>
        <v>1200000</v>
      </c>
      <c r="R67" s="645">
        <v>700000</v>
      </c>
      <c r="S67" s="646">
        <f>Q67-R67</f>
        <v>500000</v>
      </c>
      <c r="T67" s="647">
        <f t="shared" ref="T67:T68" si="31">S67/R67</f>
        <v>0.7142857142857143</v>
      </c>
    </row>
    <row r="68" spans="1:20" ht="15" customHeight="1">
      <c r="A68" s="778"/>
      <c r="B68" s="786"/>
      <c r="C68" s="792"/>
      <c r="D68" s="786"/>
      <c r="F68" s="2002" t="s">
        <v>1687</v>
      </c>
      <c r="G68" s="1004"/>
      <c r="H68" s="992"/>
      <c r="I68" s="992"/>
      <c r="J68" s="992"/>
      <c r="K68" s="992"/>
      <c r="L68" s="2003"/>
      <c r="M68" s="992"/>
      <c r="N68" s="1022"/>
      <c r="O68" s="1022"/>
      <c r="P68" s="994">
        <f>SUM(P69:P69)</f>
        <v>1200000</v>
      </c>
      <c r="Q68" s="1018">
        <f>P68</f>
        <v>1200000</v>
      </c>
      <c r="R68" s="2004">
        <v>700000</v>
      </c>
      <c r="S68" s="2005">
        <f t="shared" ref="S68" si="32">Q68-R68</f>
        <v>500000</v>
      </c>
      <c r="T68" s="2006">
        <f t="shared" si="31"/>
        <v>0.7142857142857143</v>
      </c>
    </row>
    <row r="69" spans="1:20" ht="15" customHeight="1">
      <c r="A69" s="778"/>
      <c r="B69" s="786"/>
      <c r="C69" s="792"/>
      <c r="D69" s="786"/>
      <c r="E69" s="3317"/>
      <c r="F69" s="2024" t="s">
        <v>1688</v>
      </c>
      <c r="G69" s="2025">
        <v>100000</v>
      </c>
      <c r="H69" s="2026" t="s">
        <v>1689</v>
      </c>
      <c r="I69" s="2055">
        <v>1</v>
      </c>
      <c r="J69" s="2026" t="s">
        <v>21</v>
      </c>
      <c r="K69" s="2028">
        <v>12</v>
      </c>
      <c r="L69" s="2029"/>
      <c r="M69" s="2028"/>
      <c r="N69" s="823"/>
      <c r="O69" s="823" t="s">
        <v>122</v>
      </c>
      <c r="P69" s="1533">
        <f>G69*I69*K69</f>
        <v>1200000</v>
      </c>
      <c r="Q69" s="2056"/>
      <c r="R69" s="2057"/>
      <c r="S69" s="2058"/>
      <c r="T69" s="2019"/>
    </row>
    <row r="70" spans="1:20" ht="15" customHeight="1">
      <c r="A70" s="778"/>
      <c r="B70" s="786"/>
      <c r="C70" s="792"/>
      <c r="D70" s="786"/>
      <c r="E70" s="3637" t="s">
        <v>3071</v>
      </c>
      <c r="F70" s="3638"/>
      <c r="G70" s="3638"/>
      <c r="H70" s="3638"/>
      <c r="I70" s="3638"/>
      <c r="J70" s="3638"/>
      <c r="K70" s="3638"/>
      <c r="L70" s="3638"/>
      <c r="M70" s="3638"/>
      <c r="N70" s="3638"/>
      <c r="O70" s="3638"/>
      <c r="P70" s="3639"/>
      <c r="Q70" s="1049">
        <f>P71</f>
        <v>2800000</v>
      </c>
      <c r="R70" s="1049">
        <v>5400000</v>
      </c>
      <c r="S70" s="1050">
        <f>Q70-R70</f>
        <v>-2600000</v>
      </c>
      <c r="T70" s="647">
        <f t="shared" ref="T70:T71" si="33">S70/R70</f>
        <v>-0.48148148148148145</v>
      </c>
    </row>
    <row r="71" spans="1:20" ht="15" customHeight="1">
      <c r="A71" s="778"/>
      <c r="B71" s="786"/>
      <c r="C71" s="792"/>
      <c r="D71" s="786"/>
      <c r="E71" s="1164"/>
      <c r="F71" s="2002" t="s">
        <v>390</v>
      </c>
      <c r="G71" s="1004"/>
      <c r="H71" s="992"/>
      <c r="I71" s="992"/>
      <c r="J71" s="992"/>
      <c r="K71" s="992"/>
      <c r="L71" s="2003"/>
      <c r="M71" s="992"/>
      <c r="N71" s="1022"/>
      <c r="O71" s="1022"/>
      <c r="P71" s="994">
        <f>SUM(P72:P74)</f>
        <v>2800000</v>
      </c>
      <c r="Q71" s="1018">
        <f>P71</f>
        <v>2800000</v>
      </c>
      <c r="R71" s="2004">
        <v>5400000</v>
      </c>
      <c r="S71" s="2005">
        <f t="shared" ref="S71" si="34">Q71-R71</f>
        <v>-2600000</v>
      </c>
      <c r="T71" s="2006">
        <f t="shared" si="33"/>
        <v>-0.48148148148148145</v>
      </c>
    </row>
    <row r="72" spans="1:20" ht="15" customHeight="1">
      <c r="A72" s="778"/>
      <c r="B72" s="786"/>
      <c r="C72" s="792"/>
      <c r="D72" s="786"/>
      <c r="E72" s="3282"/>
      <c r="F72" s="1522" t="s">
        <v>1460</v>
      </c>
      <c r="G72" s="1516">
        <v>2500000</v>
      </c>
      <c r="H72" s="1523" t="s">
        <v>125</v>
      </c>
      <c r="I72" s="2020">
        <v>1</v>
      </c>
      <c r="J72" s="1523"/>
      <c r="K72" s="1524"/>
      <c r="L72" s="1525"/>
      <c r="M72" s="1524"/>
      <c r="N72" s="1526"/>
      <c r="O72" s="1526" t="s">
        <v>1690</v>
      </c>
      <c r="P72" s="1527">
        <f>ROUNDUP(G72*I72,-3)</f>
        <v>2500000</v>
      </c>
      <c r="Q72" s="806"/>
      <c r="R72" s="2021"/>
      <c r="S72" s="2022"/>
      <c r="T72" s="2023"/>
    </row>
    <row r="73" spans="1:20" ht="15" customHeight="1">
      <c r="A73" s="778"/>
      <c r="B73" s="786"/>
      <c r="C73" s="792"/>
      <c r="D73" s="786"/>
      <c r="E73" s="3283"/>
      <c r="F73" s="1528" t="s">
        <v>1411</v>
      </c>
      <c r="G73" s="2007">
        <v>150000</v>
      </c>
      <c r="H73" s="1523" t="s">
        <v>125</v>
      </c>
      <c r="I73" s="2020">
        <v>1</v>
      </c>
      <c r="J73" s="1523"/>
      <c r="K73" s="1524"/>
      <c r="L73" s="1525"/>
      <c r="M73" s="1524"/>
      <c r="N73" s="1526"/>
      <c r="O73" s="1526" t="s">
        <v>1690</v>
      </c>
      <c r="P73" s="1527">
        <f>ROUNDUP(G73*I73,-3)</f>
        <v>150000</v>
      </c>
      <c r="Q73" s="806"/>
      <c r="R73" s="2021"/>
      <c r="S73" s="2022"/>
      <c r="T73" s="2023"/>
    </row>
    <row r="74" spans="1:20" ht="15" customHeight="1">
      <c r="A74" s="778"/>
      <c r="B74" s="786"/>
      <c r="C74" s="792"/>
      <c r="D74" s="786"/>
      <c r="E74" s="3283"/>
      <c r="F74" s="1528" t="s">
        <v>1691</v>
      </c>
      <c r="G74" s="2007">
        <v>150000</v>
      </c>
      <c r="H74" s="1523" t="s">
        <v>125</v>
      </c>
      <c r="I74" s="2020">
        <v>1</v>
      </c>
      <c r="J74" s="1523"/>
      <c r="K74" s="1524"/>
      <c r="L74" s="1525"/>
      <c r="M74" s="1524"/>
      <c r="N74" s="1526"/>
      <c r="O74" s="1526" t="s">
        <v>1690</v>
      </c>
      <c r="P74" s="1527">
        <f>ROUNDUP(G74*I74,-3)</f>
        <v>150000</v>
      </c>
      <c r="Q74" s="806"/>
      <c r="R74" s="2021"/>
      <c r="S74" s="2022"/>
      <c r="T74" s="2023"/>
    </row>
    <row r="75" spans="1:20" ht="15" customHeight="1">
      <c r="A75" s="778"/>
      <c r="B75" s="786"/>
      <c r="C75" s="792"/>
      <c r="D75" s="786"/>
      <c r="E75" s="3637" t="s">
        <v>3057</v>
      </c>
      <c r="F75" s="3638"/>
      <c r="G75" s="3638"/>
      <c r="H75" s="3638"/>
      <c r="I75" s="3638"/>
      <c r="J75" s="3638"/>
      <c r="K75" s="3638"/>
      <c r="L75" s="3638"/>
      <c r="M75" s="3638"/>
      <c r="N75" s="3638"/>
      <c r="O75" s="3638"/>
      <c r="P75" s="3639"/>
      <c r="Q75" s="645">
        <f>P76+P80</f>
        <v>9835000</v>
      </c>
      <c r="R75" s="645">
        <v>4485000</v>
      </c>
      <c r="S75" s="646">
        <f>Q75-R75</f>
        <v>5350000</v>
      </c>
      <c r="T75" s="647">
        <f t="shared" ref="T75:T76" si="35">S75/R75</f>
        <v>1.1928651059085842</v>
      </c>
    </row>
    <row r="76" spans="1:20" ht="15" customHeight="1">
      <c r="A76" s="778"/>
      <c r="B76" s="786"/>
      <c r="C76" s="792"/>
      <c r="D76" s="786"/>
      <c r="E76" s="725"/>
      <c r="F76" s="2002" t="s">
        <v>251</v>
      </c>
      <c r="G76" s="1004"/>
      <c r="H76" s="992"/>
      <c r="I76" s="992"/>
      <c r="J76" s="992"/>
      <c r="K76" s="992"/>
      <c r="L76" s="2003"/>
      <c r="M76" s="992"/>
      <c r="N76" s="1022"/>
      <c r="O76" s="1022"/>
      <c r="P76" s="994">
        <f>SUM(P77:P79)</f>
        <v>9540000</v>
      </c>
      <c r="Q76" s="1018">
        <f>P76</f>
        <v>9540000</v>
      </c>
      <c r="R76" s="2004">
        <v>4190000</v>
      </c>
      <c r="S76" s="2005">
        <f t="shared" ref="S76" si="36">Q76-R76</f>
        <v>5350000</v>
      </c>
      <c r="T76" s="2006">
        <f t="shared" si="35"/>
        <v>1.2768496420047732</v>
      </c>
    </row>
    <row r="77" spans="1:20" ht="15" customHeight="1">
      <c r="A77" s="778"/>
      <c r="B77" s="786"/>
      <c r="C77" s="792"/>
      <c r="D77" s="786"/>
      <c r="E77" s="725"/>
      <c r="F77" s="1522" t="s">
        <v>1692</v>
      </c>
      <c r="G77" s="1516">
        <v>300000</v>
      </c>
      <c r="H77" s="1523" t="s">
        <v>1666</v>
      </c>
      <c r="I77" s="1524">
        <v>12</v>
      </c>
      <c r="J77" s="1523"/>
      <c r="K77" s="1524"/>
      <c r="L77" s="1525"/>
      <c r="M77" s="1524"/>
      <c r="N77" s="1526"/>
      <c r="O77" s="1526" t="s">
        <v>122</v>
      </c>
      <c r="P77" s="1527">
        <f>ROUNDUP(G77*I77,-3)</f>
        <v>3600000</v>
      </c>
      <c r="Q77" s="2016"/>
      <c r="R77" s="2017"/>
      <c r="S77" s="2018"/>
      <c r="T77" s="2019"/>
    </row>
    <row r="78" spans="1:20" ht="15" customHeight="1">
      <c r="A78" s="778"/>
      <c r="B78" s="786"/>
      <c r="C78" s="792"/>
      <c r="D78" s="786"/>
      <c r="E78" s="725"/>
      <c r="F78" s="1522" t="s">
        <v>1693</v>
      </c>
      <c r="G78" s="1516">
        <v>420000</v>
      </c>
      <c r="H78" s="1523" t="s">
        <v>1636</v>
      </c>
      <c r="I78" s="1524">
        <v>12</v>
      </c>
      <c r="J78" s="1523"/>
      <c r="K78" s="1524"/>
      <c r="L78" s="1525"/>
      <c r="M78" s="1524"/>
      <c r="N78" s="1526"/>
      <c r="O78" s="1526" t="s">
        <v>122</v>
      </c>
      <c r="P78" s="1527">
        <f>ROUNDUP(G78*I78,-3)</f>
        <v>5040000</v>
      </c>
      <c r="Q78" s="2016"/>
      <c r="R78" s="2017"/>
      <c r="S78" s="2018"/>
      <c r="T78" s="2019"/>
    </row>
    <row r="79" spans="1:20" ht="15" customHeight="1">
      <c r="A79" s="778"/>
      <c r="B79" s="786"/>
      <c r="C79" s="792"/>
      <c r="D79" s="786"/>
      <c r="E79" s="725"/>
      <c r="F79" s="1522" t="s">
        <v>292</v>
      </c>
      <c r="G79" s="2035">
        <v>900000</v>
      </c>
      <c r="H79" s="996" t="s">
        <v>125</v>
      </c>
      <c r="I79" s="2049">
        <v>1</v>
      </c>
      <c r="J79" s="996"/>
      <c r="K79" s="1000"/>
      <c r="L79" s="2036"/>
      <c r="M79" s="1000"/>
      <c r="N79" s="1001"/>
      <c r="O79" s="1001" t="s">
        <v>122</v>
      </c>
      <c r="P79" s="2037">
        <f>ROUNDUP(G79*I79,-3)</f>
        <v>900000</v>
      </c>
      <c r="Q79" s="806"/>
      <c r="R79" s="2021"/>
      <c r="S79" s="2022"/>
      <c r="T79" s="2023"/>
    </row>
    <row r="80" spans="1:20" ht="15" customHeight="1">
      <c r="A80" s="778"/>
      <c r="B80" s="786"/>
      <c r="C80" s="792"/>
      <c r="D80" s="786"/>
      <c r="E80" s="725"/>
      <c r="F80" s="2002" t="s">
        <v>754</v>
      </c>
      <c r="G80" s="1004"/>
      <c r="H80" s="992"/>
      <c r="I80" s="992"/>
      <c r="J80" s="992"/>
      <c r="K80" s="992"/>
      <c r="L80" s="2003"/>
      <c r="M80" s="992"/>
      <c r="N80" s="1022"/>
      <c r="O80" s="1022"/>
      <c r="P80" s="994">
        <f>SUM(P81:P82)</f>
        <v>295000</v>
      </c>
      <c r="Q80" s="1018">
        <f>P80</f>
        <v>295000</v>
      </c>
      <c r="R80" s="2004">
        <v>295000</v>
      </c>
      <c r="S80" s="2005">
        <f t="shared" ref="S80" si="37">Q80-R80</f>
        <v>0</v>
      </c>
      <c r="T80" s="2006">
        <f t="shared" ref="T80" si="38">S80/R80</f>
        <v>0</v>
      </c>
    </row>
    <row r="81" spans="1:20" ht="15" customHeight="1">
      <c r="A81" s="778"/>
      <c r="B81" s="786"/>
      <c r="C81" s="792"/>
      <c r="D81" s="786"/>
      <c r="E81" s="725"/>
      <c r="F81" s="1522" t="s">
        <v>1694</v>
      </c>
      <c r="G81" s="1516">
        <v>50000</v>
      </c>
      <c r="H81" s="1523" t="s">
        <v>125</v>
      </c>
      <c r="I81" s="2020">
        <v>1</v>
      </c>
      <c r="J81" s="1523"/>
      <c r="K81" s="1524"/>
      <c r="L81" s="1525"/>
      <c r="M81" s="1524"/>
      <c r="N81" s="1526"/>
      <c r="O81" s="1526" t="s">
        <v>1695</v>
      </c>
      <c r="P81" s="1527">
        <f>ROUNDUP(G81*I81,-3)</f>
        <v>50000</v>
      </c>
      <c r="Q81" s="806"/>
      <c r="R81" s="2021"/>
      <c r="S81" s="2022"/>
      <c r="T81" s="2023"/>
    </row>
    <row r="82" spans="1:20" ht="15" customHeight="1">
      <c r="A82" s="778"/>
      <c r="B82" s="786"/>
      <c r="C82" s="792"/>
      <c r="D82" s="786"/>
      <c r="E82" s="725"/>
      <c r="F82" s="1522" t="s">
        <v>1696</v>
      </c>
      <c r="G82" s="1516">
        <v>245000</v>
      </c>
      <c r="H82" s="1523" t="s">
        <v>125</v>
      </c>
      <c r="I82" s="2020">
        <v>1</v>
      </c>
      <c r="J82" s="1523"/>
      <c r="K82" s="1524"/>
      <c r="L82" s="1525"/>
      <c r="M82" s="1524"/>
      <c r="N82" s="1526"/>
      <c r="O82" s="1526" t="s">
        <v>1695</v>
      </c>
      <c r="P82" s="1527">
        <f>ROUNDUP(G82*I82,-3)</f>
        <v>245000</v>
      </c>
      <c r="Q82" s="806"/>
      <c r="R82" s="2021"/>
      <c r="S82" s="2022"/>
      <c r="T82" s="2023"/>
    </row>
    <row r="83" spans="1:20" ht="15" customHeight="1">
      <c r="A83" s="1130"/>
      <c r="B83" s="846"/>
      <c r="C83" s="780"/>
      <c r="D83" s="846"/>
      <c r="E83" s="3637" t="s">
        <v>3092</v>
      </c>
      <c r="F83" s="3638"/>
      <c r="G83" s="3638"/>
      <c r="H83" s="3638"/>
      <c r="I83" s="3638"/>
      <c r="J83" s="3638"/>
      <c r="K83" s="3638"/>
      <c r="L83" s="3638"/>
      <c r="M83" s="3638"/>
      <c r="N83" s="3638"/>
      <c r="O83" s="3638"/>
      <c r="P83" s="3639"/>
      <c r="Q83" s="645">
        <v>0</v>
      </c>
      <c r="R83" s="2015">
        <v>800000</v>
      </c>
      <c r="S83" s="646">
        <f>Q83-R83</f>
        <v>-800000</v>
      </c>
      <c r="T83" s="647">
        <f t="shared" ref="T83" si="39">S83/R83</f>
        <v>-1</v>
      </c>
    </row>
    <row r="84" spans="1:20" ht="15" customHeight="1">
      <c r="A84" s="778"/>
      <c r="B84" s="786"/>
      <c r="C84" s="792"/>
      <c r="D84" s="786"/>
      <c r="E84" s="3637" t="s">
        <v>3093</v>
      </c>
      <c r="F84" s="3638"/>
      <c r="G84" s="3638"/>
      <c r="H84" s="3638"/>
      <c r="I84" s="3638"/>
      <c r="J84" s="3638"/>
      <c r="K84" s="3638"/>
      <c r="L84" s="3638"/>
      <c r="M84" s="3638"/>
      <c r="N84" s="3638"/>
      <c r="O84" s="3638"/>
      <c r="P84" s="3639"/>
      <c r="Q84" s="1049">
        <v>0</v>
      </c>
      <c r="R84" s="2059">
        <v>400000</v>
      </c>
      <c r="S84" s="1050">
        <f>Q84-R84</f>
        <v>-400000</v>
      </c>
      <c r="T84" s="1051">
        <f t="shared" ref="T84" si="40">S84/R84</f>
        <v>-1</v>
      </c>
    </row>
    <row r="85" spans="1:20" ht="15" customHeight="1">
      <c r="A85" s="778"/>
      <c r="B85" s="786"/>
      <c r="C85" s="792"/>
      <c r="D85" s="786"/>
      <c r="E85" s="3637" t="s">
        <v>252</v>
      </c>
      <c r="F85" s="3638"/>
      <c r="G85" s="3638"/>
      <c r="H85" s="3638"/>
      <c r="I85" s="3638"/>
      <c r="J85" s="3638"/>
      <c r="K85" s="3638"/>
      <c r="L85" s="3638"/>
      <c r="M85" s="3638"/>
      <c r="N85" s="3638"/>
      <c r="O85" s="3638"/>
      <c r="P85" s="3639"/>
      <c r="Q85" s="645">
        <v>0</v>
      </c>
      <c r="R85" s="2015">
        <v>4300000</v>
      </c>
      <c r="S85" s="646">
        <f>Q85-R85</f>
        <v>-4300000</v>
      </c>
      <c r="T85" s="647">
        <f t="shared" ref="T85" si="41">S85/R85</f>
        <v>-1</v>
      </c>
    </row>
    <row r="86" spans="1:20" ht="15" customHeight="1">
      <c r="A86" s="778"/>
      <c r="B86" s="786"/>
      <c r="C86" s="792"/>
      <c r="D86" s="786"/>
      <c r="E86" s="3637" t="s">
        <v>3028</v>
      </c>
      <c r="F86" s="3638"/>
      <c r="G86" s="3638"/>
      <c r="H86" s="3638"/>
      <c r="I86" s="3638"/>
      <c r="J86" s="3638"/>
      <c r="K86" s="3638"/>
      <c r="L86" s="3638"/>
      <c r="M86" s="3638"/>
      <c r="N86" s="3638"/>
      <c r="O86" s="3638"/>
      <c r="P86" s="3639"/>
      <c r="Q86" s="645">
        <f>P87</f>
        <v>4000000</v>
      </c>
      <c r="R86" s="2015">
        <v>7500000</v>
      </c>
      <c r="S86" s="646">
        <f>Q86-R86</f>
        <v>-3500000</v>
      </c>
      <c r="T86" s="647">
        <f t="shared" ref="T86:T87" si="42">S86/R86</f>
        <v>-0.46666666666666667</v>
      </c>
    </row>
    <row r="87" spans="1:20" ht="15" customHeight="1">
      <c r="A87" s="778"/>
      <c r="B87" s="786"/>
      <c r="C87" s="792"/>
      <c r="D87" s="786"/>
      <c r="F87" s="2038" t="s">
        <v>1697</v>
      </c>
      <c r="G87" s="1028"/>
      <c r="H87" s="1027"/>
      <c r="I87" s="1027"/>
      <c r="J87" s="1027"/>
      <c r="K87" s="1027"/>
      <c r="L87" s="2039"/>
      <c r="M87" s="1027"/>
      <c r="N87" s="1031"/>
      <c r="O87" s="1031"/>
      <c r="P87" s="2040">
        <f>SUM(P88:P90)</f>
        <v>4000000</v>
      </c>
      <c r="Q87" s="1034">
        <f>P87</f>
        <v>4000000</v>
      </c>
      <c r="R87" s="2041">
        <v>7500000</v>
      </c>
      <c r="S87" s="2042">
        <f t="shared" ref="S87" si="43">Q87-R87</f>
        <v>-3500000</v>
      </c>
      <c r="T87" s="2043">
        <f t="shared" si="42"/>
        <v>-0.46666666666666667</v>
      </c>
    </row>
    <row r="88" spans="1:20" ht="15" customHeight="1">
      <c r="A88" s="778"/>
      <c r="B88" s="786"/>
      <c r="C88" s="792"/>
      <c r="D88" s="786"/>
      <c r="E88" s="3282"/>
      <c r="F88" s="1522" t="s">
        <v>391</v>
      </c>
      <c r="G88" s="1516">
        <v>300000</v>
      </c>
      <c r="H88" s="1523" t="s">
        <v>125</v>
      </c>
      <c r="I88" s="2051">
        <v>4</v>
      </c>
      <c r="J88" s="1523"/>
      <c r="K88" s="1524"/>
      <c r="L88" s="1525"/>
      <c r="M88" s="1524"/>
      <c r="N88" s="1526"/>
      <c r="O88" s="1526" t="s">
        <v>122</v>
      </c>
      <c r="P88" s="1527">
        <f>ROUNDUP(G88*I88,-3)</f>
        <v>1200000</v>
      </c>
      <c r="Q88" s="806"/>
      <c r="R88" s="2021"/>
      <c r="S88" s="2022"/>
      <c r="T88" s="2023"/>
    </row>
    <row r="89" spans="1:20" ht="15" customHeight="1">
      <c r="A89" s="778"/>
      <c r="B89" s="786"/>
      <c r="C89" s="792"/>
      <c r="D89" s="786"/>
      <c r="E89" s="3283"/>
      <c r="F89" s="1528" t="s">
        <v>392</v>
      </c>
      <c r="G89" s="2007">
        <v>600000</v>
      </c>
      <c r="H89" s="1523" t="s">
        <v>125</v>
      </c>
      <c r="I89" s="2051">
        <v>4</v>
      </c>
      <c r="J89" s="1523"/>
      <c r="K89" s="1524"/>
      <c r="L89" s="1525"/>
      <c r="M89" s="1524"/>
      <c r="N89" s="1526"/>
      <c r="O89" s="1526" t="s">
        <v>122</v>
      </c>
      <c r="P89" s="1527">
        <f>ROUNDUP(G89*I89,-3)</f>
        <v>2400000</v>
      </c>
      <c r="Q89" s="806"/>
      <c r="R89" s="2021"/>
      <c r="S89" s="2022"/>
      <c r="T89" s="2023"/>
    </row>
    <row r="90" spans="1:20" ht="15" customHeight="1">
      <c r="A90" s="778"/>
      <c r="B90" s="786"/>
      <c r="C90" s="792"/>
      <c r="D90" s="786"/>
      <c r="E90" s="3283"/>
      <c r="F90" s="1528" t="s">
        <v>1698</v>
      </c>
      <c r="G90" s="2007">
        <v>100000</v>
      </c>
      <c r="H90" s="1523" t="s">
        <v>1699</v>
      </c>
      <c r="I90" s="2051">
        <v>4</v>
      </c>
      <c r="J90" s="1523"/>
      <c r="K90" s="1524"/>
      <c r="L90" s="1525"/>
      <c r="M90" s="1524"/>
      <c r="N90" s="1526"/>
      <c r="O90" s="1526" t="s">
        <v>1637</v>
      </c>
      <c r="P90" s="1527">
        <f>ROUNDUP(G90*I90,-3)</f>
        <v>400000</v>
      </c>
      <c r="Q90" s="806"/>
      <c r="R90" s="2021"/>
      <c r="S90" s="2022"/>
      <c r="T90" s="2023"/>
    </row>
    <row r="91" spans="1:20" ht="15" customHeight="1">
      <c r="A91" s="778"/>
      <c r="B91" s="786"/>
      <c r="C91" s="792"/>
      <c r="D91" s="786"/>
      <c r="E91" s="3637" t="s">
        <v>199</v>
      </c>
      <c r="F91" s="3638"/>
      <c r="G91" s="3638"/>
      <c r="H91" s="3638"/>
      <c r="I91" s="3638"/>
      <c r="J91" s="3638"/>
      <c r="K91" s="3638"/>
      <c r="L91" s="3638"/>
      <c r="M91" s="3638"/>
      <c r="N91" s="3638"/>
      <c r="O91" s="3638"/>
      <c r="P91" s="3639"/>
      <c r="Q91" s="645">
        <f>P92</f>
        <v>2000000</v>
      </c>
      <c r="R91" s="645">
        <v>2000000</v>
      </c>
      <c r="S91" s="646">
        <f>Q91-R91</f>
        <v>0</v>
      </c>
      <c r="T91" s="647">
        <f t="shared" ref="T91:T92" si="44">S91/R91</f>
        <v>0</v>
      </c>
    </row>
    <row r="92" spans="1:20" ht="15" customHeight="1">
      <c r="A92" s="778"/>
      <c r="B92" s="786"/>
      <c r="C92" s="792"/>
      <c r="D92" s="786"/>
      <c r="F92" s="2002" t="s">
        <v>1700</v>
      </c>
      <c r="G92" s="1004"/>
      <c r="H92" s="992"/>
      <c r="I92" s="992"/>
      <c r="J92" s="992"/>
      <c r="K92" s="992"/>
      <c r="L92" s="2003"/>
      <c r="M92" s="992"/>
      <c r="N92" s="1022"/>
      <c r="O92" s="1022"/>
      <c r="P92" s="994">
        <f>SUM(P93:P95)</f>
        <v>2000000</v>
      </c>
      <c r="Q92" s="1018">
        <f>P92</f>
        <v>2000000</v>
      </c>
      <c r="R92" s="2004">
        <v>2000000</v>
      </c>
      <c r="S92" s="2005">
        <f t="shared" ref="S92" si="45">Q92-R92</f>
        <v>0</v>
      </c>
      <c r="T92" s="2006">
        <f t="shared" si="44"/>
        <v>0</v>
      </c>
    </row>
    <row r="93" spans="1:20" ht="15" customHeight="1">
      <c r="A93" s="778"/>
      <c r="B93" s="786"/>
      <c r="C93" s="792"/>
      <c r="D93" s="786"/>
      <c r="E93" s="3282"/>
      <c r="F93" s="2060" t="s">
        <v>2396</v>
      </c>
      <c r="G93" s="1459">
        <v>400000</v>
      </c>
      <c r="H93" s="2061" t="s">
        <v>2397</v>
      </c>
      <c r="I93" s="2062">
        <v>4</v>
      </c>
      <c r="J93" s="2061"/>
      <c r="K93" s="2061"/>
      <c r="L93" s="2063"/>
      <c r="M93" s="2061"/>
      <c r="N93" s="2064"/>
      <c r="O93" s="2064" t="s">
        <v>22</v>
      </c>
      <c r="P93" s="2065">
        <f>PRODUCT(G93:O93)</f>
        <v>1600000</v>
      </c>
      <c r="Q93" s="806"/>
      <c r="R93" s="2021"/>
      <c r="S93" s="2022"/>
      <c r="T93" s="2023"/>
    </row>
    <row r="94" spans="1:20" ht="15" customHeight="1">
      <c r="A94" s="778"/>
      <c r="B94" s="786"/>
      <c r="C94" s="792"/>
      <c r="D94" s="786"/>
      <c r="E94" s="3282"/>
      <c r="F94" s="2060" t="s">
        <v>2398</v>
      </c>
      <c r="G94" s="1459">
        <v>7000</v>
      </c>
      <c r="H94" s="2061" t="s">
        <v>2397</v>
      </c>
      <c r="I94" s="2066">
        <v>10</v>
      </c>
      <c r="J94" s="2061" t="s">
        <v>2397</v>
      </c>
      <c r="K94" s="2020">
        <v>4</v>
      </c>
      <c r="L94" s="2063"/>
      <c r="M94" s="2061"/>
      <c r="N94" s="2064"/>
      <c r="O94" s="2064" t="s">
        <v>22</v>
      </c>
      <c r="P94" s="2065">
        <f>PRODUCT(G94:O94)</f>
        <v>280000</v>
      </c>
      <c r="Q94" s="806"/>
      <c r="R94" s="2067"/>
      <c r="S94" s="2022"/>
      <c r="T94" s="2023"/>
    </row>
    <row r="95" spans="1:20" ht="15" customHeight="1">
      <c r="A95" s="778"/>
      <c r="B95" s="786"/>
      <c r="C95" s="792"/>
      <c r="D95" s="786"/>
      <c r="E95" s="3282"/>
      <c r="F95" s="1522" t="s">
        <v>2399</v>
      </c>
      <c r="G95" s="1516">
        <v>3000</v>
      </c>
      <c r="H95" s="1523" t="s">
        <v>2375</v>
      </c>
      <c r="I95" s="2066">
        <v>10</v>
      </c>
      <c r="J95" s="2061" t="s">
        <v>2397</v>
      </c>
      <c r="K95" s="2020">
        <v>4</v>
      </c>
      <c r="L95" s="1525"/>
      <c r="M95" s="1524"/>
      <c r="N95" s="1526"/>
      <c r="O95" s="1526" t="s">
        <v>2400</v>
      </c>
      <c r="P95" s="1527">
        <f>ROUNDUP(G95*I95*K95,-3)</f>
        <v>120000</v>
      </c>
      <c r="Q95" s="806"/>
      <c r="R95" s="2067"/>
      <c r="S95" s="2022"/>
      <c r="T95" s="2023"/>
    </row>
    <row r="96" spans="1:20" ht="15" customHeight="1">
      <c r="A96" s="778"/>
      <c r="B96" s="786"/>
      <c r="C96" s="792"/>
      <c r="D96" s="786"/>
      <c r="E96" s="3637" t="s">
        <v>349</v>
      </c>
      <c r="F96" s="3638"/>
      <c r="G96" s="3638"/>
      <c r="H96" s="3638"/>
      <c r="I96" s="3638"/>
      <c r="J96" s="3638"/>
      <c r="K96" s="3638"/>
      <c r="L96" s="3638"/>
      <c r="M96" s="3638"/>
      <c r="N96" s="3638"/>
      <c r="O96" s="3638"/>
      <c r="P96" s="3639"/>
      <c r="Q96" s="645">
        <f>P97</f>
        <v>30000000</v>
      </c>
      <c r="R96" s="2015">
        <v>134762000</v>
      </c>
      <c r="S96" s="646">
        <f>Q96-R96</f>
        <v>-104762000</v>
      </c>
      <c r="T96" s="647">
        <f t="shared" ref="T96:T97" si="46">S96/R96</f>
        <v>-0.77738531633546548</v>
      </c>
    </row>
    <row r="97" spans="1:20" ht="15" customHeight="1">
      <c r="A97" s="778"/>
      <c r="B97" s="786"/>
      <c r="C97" s="792"/>
      <c r="D97" s="786"/>
      <c r="F97" s="2068" t="s">
        <v>2319</v>
      </c>
      <c r="G97" s="2069"/>
      <c r="H97" s="2070"/>
      <c r="I97" s="2071"/>
      <c r="J97" s="2070"/>
      <c r="K97" s="2070"/>
      <c r="L97" s="2072"/>
      <c r="M97" s="2070"/>
      <c r="N97" s="2073"/>
      <c r="O97" s="2073"/>
      <c r="P97" s="2074">
        <f>P98</f>
        <v>30000000</v>
      </c>
      <c r="Q97" s="1018">
        <f>P97</f>
        <v>30000000</v>
      </c>
      <c r="R97" s="2075">
        <v>134762000</v>
      </c>
      <c r="S97" s="2005">
        <f t="shared" ref="S97" si="47">Q97-R97</f>
        <v>-104762000</v>
      </c>
      <c r="T97" s="2006">
        <f t="shared" si="46"/>
        <v>-0.77738531633546548</v>
      </c>
    </row>
    <row r="98" spans="1:20" ht="15" customHeight="1">
      <c r="A98" s="778"/>
      <c r="B98" s="786"/>
      <c r="C98" s="792"/>
      <c r="D98" s="786"/>
      <c r="F98" s="1522" t="s">
        <v>2320</v>
      </c>
      <c r="G98" s="2076">
        <v>30000000</v>
      </c>
      <c r="H98" s="996" t="s">
        <v>51</v>
      </c>
      <c r="I98" s="2077">
        <v>1</v>
      </c>
      <c r="J98" s="2078"/>
      <c r="K98" s="2078"/>
      <c r="L98" s="2079"/>
      <c r="M98" s="2078"/>
      <c r="N98" s="2080"/>
      <c r="O98" s="823" t="s">
        <v>122</v>
      </c>
      <c r="P98" s="2081">
        <f t="shared" ref="P98" si="48">PRODUCT(G98:N98)</f>
        <v>30000000</v>
      </c>
      <c r="Q98" s="858"/>
      <c r="R98" s="2082"/>
      <c r="S98" s="859"/>
      <c r="T98" s="891"/>
    </row>
    <row r="99" spans="1:20" ht="15" customHeight="1">
      <c r="A99" s="778"/>
      <c r="B99" s="786"/>
      <c r="C99" s="792"/>
      <c r="D99" s="634" t="s">
        <v>200</v>
      </c>
      <c r="E99" s="2229"/>
      <c r="F99" s="2010"/>
      <c r="G99" s="2011"/>
      <c r="H99" s="2012"/>
      <c r="I99" s="2012"/>
      <c r="J99" s="2012"/>
      <c r="K99" s="2012"/>
      <c r="L99" s="2013"/>
      <c r="M99" s="2012"/>
      <c r="N99" s="2014"/>
      <c r="O99" s="2014"/>
      <c r="P99" s="2012"/>
      <c r="Q99" s="638">
        <f>Q100</f>
        <v>3000000</v>
      </c>
      <c r="R99" s="638">
        <f>R100</f>
        <v>320880000</v>
      </c>
      <c r="S99" s="793">
        <f>Q99-R99</f>
        <v>-317880000</v>
      </c>
      <c r="T99" s="873">
        <f t="shared" ref="T99:T101" si="49">S99/R99</f>
        <v>-0.99065071054599851</v>
      </c>
    </row>
    <row r="100" spans="1:20" ht="15" customHeight="1">
      <c r="A100" s="778"/>
      <c r="B100" s="786"/>
      <c r="C100" s="792"/>
      <c r="D100" s="786"/>
      <c r="E100" s="3637" t="s">
        <v>3019</v>
      </c>
      <c r="F100" s="3638"/>
      <c r="G100" s="3638"/>
      <c r="H100" s="3638"/>
      <c r="I100" s="3638"/>
      <c r="J100" s="3638"/>
      <c r="K100" s="3638"/>
      <c r="L100" s="3638"/>
      <c r="M100" s="3638"/>
      <c r="N100" s="3638"/>
      <c r="O100" s="3638"/>
      <c r="P100" s="3639"/>
      <c r="Q100" s="645">
        <f>P101</f>
        <v>3000000</v>
      </c>
      <c r="R100" s="645">
        <v>320880000</v>
      </c>
      <c r="S100" s="646">
        <f>Q100-R100</f>
        <v>-317880000</v>
      </c>
      <c r="T100" s="647">
        <f t="shared" si="49"/>
        <v>-0.99065071054599851</v>
      </c>
    </row>
    <row r="101" spans="1:20" ht="15" customHeight="1">
      <c r="A101" s="778"/>
      <c r="B101" s="786"/>
      <c r="C101" s="792"/>
      <c r="D101" s="786"/>
      <c r="F101" s="2002" t="s">
        <v>202</v>
      </c>
      <c r="G101" s="1004"/>
      <c r="H101" s="992"/>
      <c r="I101" s="992"/>
      <c r="J101" s="992"/>
      <c r="K101" s="992"/>
      <c r="L101" s="2003"/>
      <c r="M101" s="992"/>
      <c r="N101" s="1022"/>
      <c r="O101" s="1022"/>
      <c r="P101" s="994">
        <f>SUM(P102:P103)</f>
        <v>3000000</v>
      </c>
      <c r="Q101" s="1018">
        <f>P101</f>
        <v>3000000</v>
      </c>
      <c r="R101" s="2004">
        <v>320880000</v>
      </c>
      <c r="S101" s="2005">
        <f t="shared" ref="S101" si="50">Q101-R101</f>
        <v>-317880000</v>
      </c>
      <c r="T101" s="2006">
        <f t="shared" si="49"/>
        <v>-0.99065071054599851</v>
      </c>
    </row>
    <row r="102" spans="1:20" ht="15" customHeight="1">
      <c r="A102" s="778"/>
      <c r="B102" s="786"/>
      <c r="C102" s="792"/>
      <c r="D102" s="786"/>
      <c r="F102" s="1528" t="s">
        <v>2410</v>
      </c>
      <c r="G102" s="997">
        <v>1500000</v>
      </c>
      <c r="H102" s="996" t="s">
        <v>2411</v>
      </c>
      <c r="I102" s="2049">
        <v>1</v>
      </c>
      <c r="J102" s="996"/>
      <c r="K102" s="996"/>
      <c r="L102" s="2083"/>
      <c r="M102" s="996"/>
      <c r="N102" s="1001"/>
      <c r="O102" s="1001" t="s">
        <v>2412</v>
      </c>
      <c r="P102" s="1002">
        <f>G102*I102</f>
        <v>1500000</v>
      </c>
      <c r="Q102" s="806"/>
      <c r="R102" s="2021"/>
      <c r="S102" s="2022"/>
      <c r="T102" s="2023"/>
    </row>
    <row r="103" spans="1:20" ht="15" customHeight="1">
      <c r="A103" s="778"/>
      <c r="B103" s="786"/>
      <c r="C103" s="792"/>
      <c r="D103" s="786"/>
      <c r="F103" s="1528" t="s">
        <v>2413</v>
      </c>
      <c r="G103" s="997">
        <v>1500000</v>
      </c>
      <c r="H103" s="996" t="s">
        <v>2411</v>
      </c>
      <c r="I103" s="2049">
        <v>1</v>
      </c>
      <c r="J103" s="996"/>
      <c r="K103" s="996"/>
      <c r="L103" s="2083"/>
      <c r="M103" s="996"/>
      <c r="N103" s="1001"/>
      <c r="O103" s="1001" t="s">
        <v>2412</v>
      </c>
      <c r="P103" s="1002">
        <f>G103*I103</f>
        <v>1500000</v>
      </c>
      <c r="Q103" s="2084"/>
      <c r="R103" s="2085"/>
      <c r="S103" s="2086"/>
      <c r="T103" s="2087"/>
    </row>
    <row r="104" spans="1:20" ht="15" customHeight="1">
      <c r="A104" s="778"/>
      <c r="B104" s="786"/>
      <c r="C104" s="3685" t="s">
        <v>203</v>
      </c>
      <c r="D104" s="3686"/>
      <c r="E104" s="3686"/>
      <c r="F104" s="3686"/>
      <c r="G104" s="3686"/>
      <c r="H104" s="3686"/>
      <c r="I104" s="3686"/>
      <c r="J104" s="3686"/>
      <c r="K104" s="3686"/>
      <c r="L104" s="3686"/>
      <c r="M104" s="3686"/>
      <c r="N104" s="3686"/>
      <c r="O104" s="3686"/>
      <c r="P104" s="3687"/>
      <c r="Q104" s="872">
        <f>Q105</f>
        <v>80637000</v>
      </c>
      <c r="R104" s="872">
        <f>R105</f>
        <v>53855000</v>
      </c>
      <c r="S104" s="764">
        <f>Q104-R104</f>
        <v>26782000</v>
      </c>
      <c r="T104" s="2001">
        <f t="shared" ref="T104:T107" si="51">S104/R104</f>
        <v>0.49729830099340822</v>
      </c>
    </row>
    <row r="105" spans="1:20" ht="15" customHeight="1">
      <c r="A105" s="778"/>
      <c r="B105" s="786"/>
      <c r="C105" s="792"/>
      <c r="D105" s="684" t="s">
        <v>393</v>
      </c>
      <c r="E105" s="2229"/>
      <c r="F105" s="2010"/>
      <c r="G105" s="2011"/>
      <c r="H105" s="2012"/>
      <c r="I105" s="2012"/>
      <c r="J105" s="2012"/>
      <c r="K105" s="2012"/>
      <c r="L105" s="2013"/>
      <c r="M105" s="2012"/>
      <c r="N105" s="2014"/>
      <c r="O105" s="2014"/>
      <c r="P105" s="2012"/>
      <c r="Q105" s="638">
        <f>Q106+Q215+Q236+Q250</f>
        <v>80637000</v>
      </c>
      <c r="R105" s="638">
        <f>R106+R215+R236+R250</f>
        <v>53855000</v>
      </c>
      <c r="S105" s="793">
        <f>Q105-R105</f>
        <v>26782000</v>
      </c>
      <c r="T105" s="873">
        <f t="shared" si="51"/>
        <v>0.49729830099340822</v>
      </c>
    </row>
    <row r="106" spans="1:20" s="930" customFormat="1" ht="15" customHeight="1">
      <c r="A106" s="617"/>
      <c r="B106" s="632"/>
      <c r="C106" s="719"/>
      <c r="D106" s="626"/>
      <c r="E106" s="3637" t="s">
        <v>3118</v>
      </c>
      <c r="F106" s="3638"/>
      <c r="G106" s="3638"/>
      <c r="H106" s="3638"/>
      <c r="I106" s="3638"/>
      <c r="J106" s="3638"/>
      <c r="K106" s="3638"/>
      <c r="L106" s="3638"/>
      <c r="M106" s="3638"/>
      <c r="N106" s="3638"/>
      <c r="O106" s="3638"/>
      <c r="P106" s="3639"/>
      <c r="Q106" s="645">
        <f>SUM(P107,P112,P118,P127,P137,P145,P153,P159,P163,P170,P174,P179,P188,P195,P205)</f>
        <v>72109000</v>
      </c>
      <c r="R106" s="645">
        <f>SUM(R107:R214)</f>
        <v>39825000</v>
      </c>
      <c r="S106" s="646">
        <f>Q106-R106</f>
        <v>32284000</v>
      </c>
      <c r="T106" s="647">
        <f t="shared" si="51"/>
        <v>0.81064657878217206</v>
      </c>
    </row>
    <row r="107" spans="1:20" s="930" customFormat="1" ht="15" customHeight="1">
      <c r="A107" s="617"/>
      <c r="B107" s="632"/>
      <c r="C107" s="719"/>
      <c r="D107" s="632"/>
      <c r="E107" s="725"/>
      <c r="F107" s="2002" t="s">
        <v>205</v>
      </c>
      <c r="G107" s="1004"/>
      <c r="H107" s="992"/>
      <c r="I107" s="992"/>
      <c r="J107" s="992"/>
      <c r="K107" s="992"/>
      <c r="L107" s="2003"/>
      <c r="M107" s="992"/>
      <c r="N107" s="1022"/>
      <c r="O107" s="1022"/>
      <c r="P107" s="994">
        <f>SUM(P108:P111)</f>
        <v>3000000</v>
      </c>
      <c r="Q107" s="1018">
        <f>P107</f>
        <v>3000000</v>
      </c>
      <c r="R107" s="2004">
        <v>1000000</v>
      </c>
      <c r="S107" s="2005">
        <f t="shared" ref="S107" si="52">Q107-R107</f>
        <v>2000000</v>
      </c>
      <c r="T107" s="2006">
        <f t="shared" si="51"/>
        <v>2</v>
      </c>
    </row>
    <row r="108" spans="1:20" s="930" customFormat="1" ht="15" customHeight="1">
      <c r="A108" s="617"/>
      <c r="B108" s="632"/>
      <c r="C108" s="719"/>
      <c r="D108" s="632"/>
      <c r="E108" s="725"/>
      <c r="F108" s="2060" t="s">
        <v>2414</v>
      </c>
      <c r="G108" s="1459">
        <v>100000</v>
      </c>
      <c r="H108" s="2061" t="s">
        <v>2415</v>
      </c>
      <c r="I108" s="2062">
        <v>2</v>
      </c>
      <c r="J108" s="2061"/>
      <c r="K108" s="2061"/>
      <c r="L108" s="2063"/>
      <c r="M108" s="2061"/>
      <c r="N108" s="2064"/>
      <c r="O108" s="2064" t="s">
        <v>22</v>
      </c>
      <c r="P108" s="2065">
        <f>PRODUCT(G108:O108)</f>
        <v>200000</v>
      </c>
      <c r="Q108" s="694"/>
      <c r="R108" s="694"/>
      <c r="S108" s="695"/>
      <c r="T108" s="2089"/>
    </row>
    <row r="109" spans="1:20" s="930" customFormat="1" ht="15" customHeight="1">
      <c r="A109" s="617"/>
      <c r="B109" s="632"/>
      <c r="C109" s="719"/>
      <c r="D109" s="632"/>
      <c r="E109" s="725"/>
      <c r="F109" s="2060" t="s">
        <v>2416</v>
      </c>
      <c r="G109" s="1459">
        <v>225000</v>
      </c>
      <c r="H109" s="2061" t="s">
        <v>2415</v>
      </c>
      <c r="I109" s="2062">
        <v>2</v>
      </c>
      <c r="J109" s="2061"/>
      <c r="K109" s="2061"/>
      <c r="L109" s="2063"/>
      <c r="M109" s="2061"/>
      <c r="N109" s="2064"/>
      <c r="O109" s="2064" t="s">
        <v>22</v>
      </c>
      <c r="P109" s="2065">
        <f>PRODUCT(G109:O109)</f>
        <v>450000</v>
      </c>
      <c r="Q109" s="694"/>
      <c r="R109" s="694"/>
      <c r="S109" s="695"/>
      <c r="T109" s="2089"/>
    </row>
    <row r="110" spans="1:20" s="930" customFormat="1" ht="15" customHeight="1">
      <c r="A110" s="617"/>
      <c r="B110" s="632"/>
      <c r="C110" s="719"/>
      <c r="D110" s="632"/>
      <c r="E110" s="725"/>
      <c r="F110" s="2060" t="s">
        <v>2417</v>
      </c>
      <c r="G110" s="1459">
        <v>325000</v>
      </c>
      <c r="H110" s="2061" t="s">
        <v>1707</v>
      </c>
      <c r="I110" s="2062">
        <v>4</v>
      </c>
      <c r="J110" s="2061"/>
      <c r="K110" s="2061"/>
      <c r="L110" s="2063"/>
      <c r="M110" s="2061"/>
      <c r="N110" s="2064"/>
      <c r="O110" s="2064" t="s">
        <v>22</v>
      </c>
      <c r="P110" s="2065">
        <f>PRODUCT(G110:O110)</f>
        <v>1300000</v>
      </c>
      <c r="Q110" s="694"/>
      <c r="R110" s="694"/>
      <c r="S110" s="695"/>
      <c r="T110" s="2089"/>
    </row>
    <row r="111" spans="1:20" s="930" customFormat="1" ht="15" customHeight="1">
      <c r="A111" s="617"/>
      <c r="B111" s="632"/>
      <c r="C111" s="719"/>
      <c r="D111" s="632"/>
      <c r="E111" s="725"/>
      <c r="F111" s="2060" t="s">
        <v>2418</v>
      </c>
      <c r="G111" s="1459">
        <v>7000</v>
      </c>
      <c r="H111" s="2061" t="s">
        <v>2415</v>
      </c>
      <c r="I111" s="2066">
        <v>15</v>
      </c>
      <c r="J111" s="2061" t="s">
        <v>1763</v>
      </c>
      <c r="K111" s="2062">
        <v>10</v>
      </c>
      <c r="L111" s="2063"/>
      <c r="M111" s="2061"/>
      <c r="N111" s="2064"/>
      <c r="O111" s="2064" t="s">
        <v>22</v>
      </c>
      <c r="P111" s="2065">
        <f>PRODUCT(G111:O111)</f>
        <v>1050000</v>
      </c>
      <c r="Q111" s="694"/>
      <c r="R111" s="694"/>
      <c r="S111" s="695"/>
      <c r="T111" s="2089"/>
    </row>
    <row r="112" spans="1:20" s="930" customFormat="1" ht="15" customHeight="1">
      <c r="A112" s="617"/>
      <c r="B112" s="632"/>
      <c r="C112" s="719"/>
      <c r="D112" s="632"/>
      <c r="E112" s="725"/>
      <c r="F112" s="2002" t="s">
        <v>1708</v>
      </c>
      <c r="G112" s="1004"/>
      <c r="H112" s="992"/>
      <c r="I112" s="992"/>
      <c r="J112" s="992"/>
      <c r="K112" s="992" t="s">
        <v>2981</v>
      </c>
      <c r="L112" s="2003"/>
      <c r="M112" s="992"/>
      <c r="N112" s="1022"/>
      <c r="O112" s="1022"/>
      <c r="P112" s="994">
        <f>SUM(P113:P117)</f>
        <v>1780000</v>
      </c>
      <c r="Q112" s="1018">
        <f>P112</f>
        <v>1780000</v>
      </c>
      <c r="R112" s="2004">
        <v>0</v>
      </c>
      <c r="S112" s="2005">
        <f t="shared" ref="S112" si="53">Q112-R112</f>
        <v>1780000</v>
      </c>
      <c r="T112" s="2006"/>
    </row>
    <row r="113" spans="1:22" s="930" customFormat="1" ht="15" customHeight="1">
      <c r="A113" s="617"/>
      <c r="B113" s="632"/>
      <c r="C113" s="719"/>
      <c r="D113" s="632"/>
      <c r="E113" s="725"/>
      <c r="F113" s="2060" t="s">
        <v>2419</v>
      </c>
      <c r="G113" s="1459">
        <v>100000</v>
      </c>
      <c r="H113" s="2061" t="s">
        <v>1707</v>
      </c>
      <c r="I113" s="2062">
        <v>2</v>
      </c>
      <c r="J113" s="2061"/>
      <c r="K113" s="2061"/>
      <c r="L113" s="2063"/>
      <c r="M113" s="2061"/>
      <c r="N113" s="2064"/>
      <c r="O113" s="2064" t="s">
        <v>22</v>
      </c>
      <c r="P113" s="2065">
        <f>PRODUCT(G113:N113)</f>
        <v>200000</v>
      </c>
      <c r="Q113" s="694"/>
      <c r="R113" s="694"/>
      <c r="S113" s="695"/>
      <c r="T113" s="2089"/>
      <c r="V113" s="2090"/>
    </row>
    <row r="114" spans="1:22" s="930" customFormat="1" ht="15" customHeight="1">
      <c r="A114" s="617"/>
      <c r="B114" s="632"/>
      <c r="C114" s="719"/>
      <c r="D114" s="632"/>
      <c r="E114" s="725"/>
      <c r="F114" s="2060" t="s">
        <v>2420</v>
      </c>
      <c r="G114" s="1459">
        <v>150000</v>
      </c>
      <c r="H114" s="2061" t="s">
        <v>1707</v>
      </c>
      <c r="I114" s="2062">
        <v>2</v>
      </c>
      <c r="J114" s="2061"/>
      <c r="K114" s="2061"/>
      <c r="L114" s="2063"/>
      <c r="M114" s="2061"/>
      <c r="N114" s="2064"/>
      <c r="O114" s="2064" t="s">
        <v>22</v>
      </c>
      <c r="P114" s="2065">
        <f>PRODUCT(G114:N114)</f>
        <v>300000</v>
      </c>
      <c r="Q114" s="694"/>
      <c r="R114" s="694"/>
      <c r="S114" s="695"/>
      <c r="T114" s="2089"/>
      <c r="V114" s="2090"/>
    </row>
    <row r="115" spans="1:22" s="930" customFormat="1" ht="15" customHeight="1">
      <c r="A115" s="617"/>
      <c r="B115" s="632"/>
      <c r="C115" s="719"/>
      <c r="D115" s="632"/>
      <c r="E115" s="725"/>
      <c r="F115" s="2060" t="s">
        <v>2421</v>
      </c>
      <c r="G115" s="1459">
        <v>3000</v>
      </c>
      <c r="H115" s="2061" t="s">
        <v>2422</v>
      </c>
      <c r="I115" s="2066">
        <v>20</v>
      </c>
      <c r="J115" s="2061" t="s">
        <v>2423</v>
      </c>
      <c r="K115" s="2062">
        <v>6</v>
      </c>
      <c r="L115" s="2063"/>
      <c r="M115" s="2061"/>
      <c r="N115" s="2064"/>
      <c r="O115" s="2064" t="s">
        <v>22</v>
      </c>
      <c r="P115" s="2065">
        <f>PRODUCT(G115:N115)</f>
        <v>360000</v>
      </c>
      <c r="Q115" s="694"/>
      <c r="R115" s="694"/>
      <c r="S115" s="695"/>
      <c r="T115" s="2089"/>
      <c r="V115" s="2090"/>
    </row>
    <row r="116" spans="1:22" s="930" customFormat="1" ht="15" customHeight="1">
      <c r="A116" s="617"/>
      <c r="B116" s="632"/>
      <c r="C116" s="719"/>
      <c r="D116" s="632"/>
      <c r="E116" s="725"/>
      <c r="F116" s="2060" t="s">
        <v>2424</v>
      </c>
      <c r="G116" s="1459">
        <v>160000</v>
      </c>
      <c r="H116" s="2061" t="s">
        <v>2423</v>
      </c>
      <c r="I116" s="2062">
        <v>4</v>
      </c>
      <c r="J116" s="2061"/>
      <c r="K116" s="2061"/>
      <c r="L116" s="2063"/>
      <c r="M116" s="2061"/>
      <c r="N116" s="2064"/>
      <c r="O116" s="2064" t="s">
        <v>22</v>
      </c>
      <c r="P116" s="2065">
        <f>PRODUCT(G116:N116)</f>
        <v>640000</v>
      </c>
      <c r="Q116" s="694"/>
      <c r="R116" s="694"/>
      <c r="S116" s="695"/>
      <c r="T116" s="2089"/>
      <c r="V116" s="2090"/>
    </row>
    <row r="117" spans="1:22" s="930" customFormat="1" ht="15" customHeight="1">
      <c r="A117" s="617"/>
      <c r="B117" s="632"/>
      <c r="C117" s="719"/>
      <c r="D117" s="632"/>
      <c r="E117" s="725"/>
      <c r="F117" s="2060" t="s">
        <v>2425</v>
      </c>
      <c r="G117" s="1424">
        <v>7000</v>
      </c>
      <c r="H117" s="2061" t="s">
        <v>2423</v>
      </c>
      <c r="I117" s="2066">
        <v>20</v>
      </c>
      <c r="J117" s="2061" t="s">
        <v>1707</v>
      </c>
      <c r="K117" s="2062">
        <v>2</v>
      </c>
      <c r="L117" s="2091"/>
      <c r="M117" s="2092"/>
      <c r="N117" s="2064"/>
      <c r="O117" s="2064" t="s">
        <v>22</v>
      </c>
      <c r="P117" s="2065">
        <f>PRODUCT(G117:N117)</f>
        <v>280000</v>
      </c>
      <c r="Q117" s="694"/>
      <c r="R117" s="694"/>
      <c r="S117" s="695"/>
      <c r="T117" s="2089"/>
      <c r="V117" s="2090"/>
    </row>
    <row r="118" spans="1:22" s="930" customFormat="1" ht="15" customHeight="1">
      <c r="A118" s="617"/>
      <c r="B118" s="632"/>
      <c r="C118" s="719"/>
      <c r="D118" s="632"/>
      <c r="E118" s="725"/>
      <c r="F118" s="2002" t="s">
        <v>1702</v>
      </c>
      <c r="G118" s="1004"/>
      <c r="H118" s="992"/>
      <c r="I118" s="992"/>
      <c r="J118" s="992"/>
      <c r="K118" s="992"/>
      <c r="L118" s="2003"/>
      <c r="M118" s="992"/>
      <c r="N118" s="1022"/>
      <c r="O118" s="1022"/>
      <c r="P118" s="994">
        <f>SUM(P119:P126)</f>
        <v>11600000</v>
      </c>
      <c r="Q118" s="1018">
        <f>P118</f>
        <v>11600000</v>
      </c>
      <c r="R118" s="2004">
        <v>0</v>
      </c>
      <c r="S118" s="2005">
        <f t="shared" ref="S118" si="54">Q118-R118</f>
        <v>11600000</v>
      </c>
      <c r="T118" s="2006"/>
    </row>
    <row r="119" spans="1:22" s="930" customFormat="1" ht="15" customHeight="1">
      <c r="A119" s="617"/>
      <c r="B119" s="632"/>
      <c r="C119" s="719"/>
      <c r="D119" s="632"/>
      <c r="E119" s="725"/>
      <c r="F119" s="2060" t="s">
        <v>2426</v>
      </c>
      <c r="G119" s="2093">
        <v>500000</v>
      </c>
      <c r="H119" s="2061" t="s">
        <v>454</v>
      </c>
      <c r="I119" s="2062">
        <v>1</v>
      </c>
      <c r="J119" s="2061"/>
      <c r="K119" s="2061"/>
      <c r="L119" s="2063"/>
      <c r="M119" s="2061"/>
      <c r="N119" s="2064"/>
      <c r="O119" s="2064" t="s">
        <v>22</v>
      </c>
      <c r="P119" s="2065">
        <f t="shared" ref="P119:P126" si="55">PRODUCT(G119:N119)</f>
        <v>500000</v>
      </c>
      <c r="Q119" s="694"/>
      <c r="R119" s="694"/>
      <c r="S119" s="695"/>
      <c r="T119" s="2089"/>
    </row>
    <row r="120" spans="1:22" s="930" customFormat="1" ht="15" customHeight="1">
      <c r="A120" s="617"/>
      <c r="B120" s="632"/>
      <c r="C120" s="719"/>
      <c r="D120" s="632"/>
      <c r="E120" s="725"/>
      <c r="F120" s="2060" t="s">
        <v>2427</v>
      </c>
      <c r="G120" s="2093">
        <v>500000</v>
      </c>
      <c r="H120" s="2061" t="s">
        <v>454</v>
      </c>
      <c r="I120" s="2062">
        <v>1</v>
      </c>
      <c r="J120" s="2061"/>
      <c r="K120" s="2061"/>
      <c r="L120" s="2063"/>
      <c r="M120" s="2061"/>
      <c r="N120" s="2064"/>
      <c r="O120" s="2064" t="s">
        <v>22</v>
      </c>
      <c r="P120" s="2065">
        <f t="shared" si="55"/>
        <v>500000</v>
      </c>
      <c r="Q120" s="694"/>
      <c r="R120" s="694"/>
      <c r="S120" s="695"/>
      <c r="T120" s="2089"/>
    </row>
    <row r="121" spans="1:22" s="930" customFormat="1" ht="15" customHeight="1">
      <c r="A121" s="617"/>
      <c r="B121" s="632"/>
      <c r="C121" s="719"/>
      <c r="D121" s="632"/>
      <c r="E121" s="725"/>
      <c r="F121" s="2060" t="s">
        <v>2428</v>
      </c>
      <c r="G121" s="2093">
        <v>1150000</v>
      </c>
      <c r="H121" s="2061" t="s">
        <v>454</v>
      </c>
      <c r="I121" s="2062">
        <v>1</v>
      </c>
      <c r="J121" s="2061"/>
      <c r="K121" s="2061"/>
      <c r="L121" s="2063"/>
      <c r="M121" s="2061"/>
      <c r="N121" s="2064"/>
      <c r="O121" s="2064" t="s">
        <v>22</v>
      </c>
      <c r="P121" s="2065">
        <f t="shared" si="55"/>
        <v>1150000</v>
      </c>
      <c r="Q121" s="694"/>
      <c r="R121" s="694"/>
      <c r="S121" s="695"/>
      <c r="T121" s="2089"/>
    </row>
    <row r="122" spans="1:22" s="930" customFormat="1" ht="15" customHeight="1">
      <c r="A122" s="617"/>
      <c r="B122" s="632"/>
      <c r="C122" s="719"/>
      <c r="D122" s="632"/>
      <c r="E122" s="725"/>
      <c r="F122" s="2060" t="s">
        <v>2429</v>
      </c>
      <c r="G122" s="2093">
        <v>1200000</v>
      </c>
      <c r="H122" s="2061" t="s">
        <v>454</v>
      </c>
      <c r="I122" s="2062">
        <v>1</v>
      </c>
      <c r="J122" s="2061"/>
      <c r="K122" s="2061"/>
      <c r="L122" s="2063"/>
      <c r="M122" s="2061"/>
      <c r="N122" s="2064"/>
      <c r="O122" s="2064" t="s">
        <v>22</v>
      </c>
      <c r="P122" s="2065">
        <f t="shared" si="55"/>
        <v>1200000</v>
      </c>
      <c r="Q122" s="694"/>
      <c r="R122" s="694"/>
      <c r="S122" s="695"/>
      <c r="T122" s="2089"/>
    </row>
    <row r="123" spans="1:22" s="930" customFormat="1" ht="15" customHeight="1">
      <c r="A123" s="617"/>
      <c r="B123" s="632"/>
      <c r="C123" s="719"/>
      <c r="D123" s="632"/>
      <c r="E123" s="725"/>
      <c r="F123" s="2060" t="s">
        <v>2430</v>
      </c>
      <c r="G123" s="2093">
        <v>2500000</v>
      </c>
      <c r="H123" s="2061" t="s">
        <v>454</v>
      </c>
      <c r="I123" s="2062">
        <v>1</v>
      </c>
      <c r="J123" s="2061"/>
      <c r="K123" s="2061"/>
      <c r="L123" s="2063"/>
      <c r="M123" s="2061"/>
      <c r="N123" s="2064"/>
      <c r="O123" s="2064" t="s">
        <v>22</v>
      </c>
      <c r="P123" s="2065">
        <f t="shared" si="55"/>
        <v>2500000</v>
      </c>
      <c r="Q123" s="694"/>
      <c r="R123" s="694"/>
      <c r="S123" s="695"/>
      <c r="T123" s="2089"/>
    </row>
    <row r="124" spans="1:22" s="930" customFormat="1" ht="15" customHeight="1">
      <c r="A124" s="759"/>
      <c r="B124" s="703"/>
      <c r="C124" s="619"/>
      <c r="D124" s="703"/>
      <c r="E124" s="726"/>
      <c r="F124" s="2098" t="s">
        <v>2431</v>
      </c>
      <c r="G124" s="2187">
        <v>100000</v>
      </c>
      <c r="H124" s="2099" t="s">
        <v>454</v>
      </c>
      <c r="I124" s="2100">
        <v>4</v>
      </c>
      <c r="J124" s="2099"/>
      <c r="K124" s="2099"/>
      <c r="L124" s="2101"/>
      <c r="M124" s="2099"/>
      <c r="N124" s="2102"/>
      <c r="O124" s="2102" t="s">
        <v>22</v>
      </c>
      <c r="P124" s="2081">
        <f t="shared" si="55"/>
        <v>400000</v>
      </c>
      <c r="Q124" s="712"/>
      <c r="R124" s="712"/>
      <c r="S124" s="713"/>
      <c r="T124" s="2103"/>
    </row>
    <row r="125" spans="1:22" s="930" customFormat="1" ht="15" customHeight="1">
      <c r="A125" s="617"/>
      <c r="B125" s="632"/>
      <c r="C125" s="719"/>
      <c r="D125" s="632"/>
      <c r="E125" s="725"/>
      <c r="F125" s="2060" t="s">
        <v>2432</v>
      </c>
      <c r="G125" s="2093">
        <v>7000</v>
      </c>
      <c r="H125" s="2061" t="s">
        <v>454</v>
      </c>
      <c r="I125" s="2066">
        <v>50</v>
      </c>
      <c r="J125" s="2061" t="s">
        <v>454</v>
      </c>
      <c r="K125" s="2062">
        <v>5</v>
      </c>
      <c r="L125" s="2063"/>
      <c r="M125" s="2061"/>
      <c r="N125" s="2064"/>
      <c r="O125" s="2064" t="s">
        <v>22</v>
      </c>
      <c r="P125" s="2065">
        <f t="shared" si="55"/>
        <v>1750000</v>
      </c>
      <c r="Q125" s="694"/>
      <c r="R125" s="694"/>
      <c r="S125" s="695"/>
      <c r="T125" s="2089"/>
    </row>
    <row r="126" spans="1:22" s="930" customFormat="1" ht="15" customHeight="1">
      <c r="A126" s="617"/>
      <c r="B126" s="632"/>
      <c r="C126" s="719"/>
      <c r="D126" s="632"/>
      <c r="E126" s="725"/>
      <c r="F126" s="2060" t="s">
        <v>2433</v>
      </c>
      <c r="G126" s="2093">
        <v>3000</v>
      </c>
      <c r="H126" s="2061" t="s">
        <v>454</v>
      </c>
      <c r="I126" s="2066">
        <v>50</v>
      </c>
      <c r="J126" s="2061" t="s">
        <v>454</v>
      </c>
      <c r="K126" s="2062">
        <v>24</v>
      </c>
      <c r="L126" s="2063"/>
      <c r="M126" s="2061"/>
      <c r="N126" s="2064"/>
      <c r="O126" s="2064" t="s">
        <v>22</v>
      </c>
      <c r="P126" s="2065">
        <f t="shared" si="55"/>
        <v>3600000</v>
      </c>
      <c r="Q126" s="694"/>
      <c r="R126" s="694"/>
      <c r="S126" s="695"/>
      <c r="T126" s="2089"/>
    </row>
    <row r="127" spans="1:22" s="930" customFormat="1" ht="15" customHeight="1">
      <c r="A127" s="617"/>
      <c r="B127" s="632"/>
      <c r="C127" s="719"/>
      <c r="D127" s="632"/>
      <c r="E127" s="725"/>
      <c r="F127" s="2002" t="s">
        <v>1709</v>
      </c>
      <c r="G127" s="1004"/>
      <c r="H127" s="992"/>
      <c r="I127" s="992"/>
      <c r="J127" s="992"/>
      <c r="K127" s="992"/>
      <c r="L127" s="2003"/>
      <c r="M127" s="992"/>
      <c r="N127" s="1022"/>
      <c r="O127" s="1022"/>
      <c r="P127" s="994">
        <f>SUM(P128:P136)</f>
        <v>10050000</v>
      </c>
      <c r="Q127" s="1018">
        <f>P127</f>
        <v>10050000</v>
      </c>
      <c r="R127" s="2004">
        <v>0</v>
      </c>
      <c r="S127" s="2005">
        <f t="shared" ref="S127" si="56">Q127-R127</f>
        <v>10050000</v>
      </c>
      <c r="T127" s="2006"/>
    </row>
    <row r="128" spans="1:22" s="930" customFormat="1" ht="15" customHeight="1">
      <c r="A128" s="617"/>
      <c r="B128" s="632"/>
      <c r="C128" s="719"/>
      <c r="D128" s="632"/>
      <c r="E128" s="725"/>
      <c r="F128" s="2060" t="s">
        <v>2434</v>
      </c>
      <c r="G128" s="2093">
        <v>200000</v>
      </c>
      <c r="H128" s="2061" t="s">
        <v>454</v>
      </c>
      <c r="I128" s="2062">
        <v>2</v>
      </c>
      <c r="J128" s="2061"/>
      <c r="K128" s="2061"/>
      <c r="L128" s="2063"/>
      <c r="M128" s="2061"/>
      <c r="N128" s="2064"/>
      <c r="O128" s="2064" t="s">
        <v>22</v>
      </c>
      <c r="P128" s="2065">
        <f t="shared" ref="P128:P136" si="57">PRODUCT(G128:N128)</f>
        <v>400000</v>
      </c>
      <c r="Q128" s="694"/>
      <c r="R128" s="694"/>
      <c r="S128" s="695"/>
      <c r="T128" s="2089"/>
    </row>
    <row r="129" spans="1:20" s="930" customFormat="1" ht="15" customHeight="1">
      <c r="A129" s="617"/>
      <c r="B129" s="632"/>
      <c r="C129" s="719"/>
      <c r="D129" s="632"/>
      <c r="E129" s="725"/>
      <c r="F129" s="2060" t="s">
        <v>2435</v>
      </c>
      <c r="G129" s="2093">
        <v>7000</v>
      </c>
      <c r="H129" s="2061" t="s">
        <v>454</v>
      </c>
      <c r="I129" s="2066">
        <v>20</v>
      </c>
      <c r="J129" s="2061" t="s">
        <v>454</v>
      </c>
      <c r="K129" s="2062">
        <v>10</v>
      </c>
      <c r="L129" s="2063"/>
      <c r="M129" s="2061"/>
      <c r="N129" s="2064"/>
      <c r="O129" s="2064" t="s">
        <v>22</v>
      </c>
      <c r="P129" s="2065">
        <f t="shared" si="57"/>
        <v>1400000</v>
      </c>
      <c r="Q129" s="694"/>
      <c r="R129" s="694"/>
      <c r="S129" s="695"/>
      <c r="T129" s="2089"/>
    </row>
    <row r="130" spans="1:20" s="930" customFormat="1" ht="15" customHeight="1">
      <c r="A130" s="617"/>
      <c r="B130" s="632"/>
      <c r="C130" s="719"/>
      <c r="D130" s="632"/>
      <c r="E130" s="725"/>
      <c r="F130" s="2060" t="s">
        <v>2436</v>
      </c>
      <c r="G130" s="2093">
        <v>3000</v>
      </c>
      <c r="H130" s="2061" t="s">
        <v>454</v>
      </c>
      <c r="I130" s="2066">
        <v>20</v>
      </c>
      <c r="J130" s="2061" t="s">
        <v>454</v>
      </c>
      <c r="K130" s="2062">
        <v>5</v>
      </c>
      <c r="L130" s="2063"/>
      <c r="M130" s="2061"/>
      <c r="N130" s="2064"/>
      <c r="O130" s="2064" t="s">
        <v>22</v>
      </c>
      <c r="P130" s="2065">
        <f t="shared" si="57"/>
        <v>300000</v>
      </c>
      <c r="Q130" s="694"/>
      <c r="R130" s="694"/>
      <c r="S130" s="695"/>
      <c r="T130" s="2089"/>
    </row>
    <row r="131" spans="1:20" s="930" customFormat="1" ht="15" customHeight="1">
      <c r="A131" s="617"/>
      <c r="B131" s="632"/>
      <c r="C131" s="719"/>
      <c r="D131" s="632"/>
      <c r="E131" s="725"/>
      <c r="F131" s="2060" t="s">
        <v>2437</v>
      </c>
      <c r="G131" s="2094">
        <v>1000000</v>
      </c>
      <c r="H131" s="2061" t="s">
        <v>454</v>
      </c>
      <c r="I131" s="2062">
        <v>2</v>
      </c>
      <c r="J131" s="2061"/>
      <c r="K131" s="2062"/>
      <c r="L131" s="2091"/>
      <c r="M131" s="2092"/>
      <c r="N131" s="2064"/>
      <c r="O131" s="2064" t="s">
        <v>22</v>
      </c>
      <c r="P131" s="2065">
        <f t="shared" si="57"/>
        <v>2000000</v>
      </c>
      <c r="Q131" s="694"/>
      <c r="R131" s="694"/>
      <c r="S131" s="695"/>
      <c r="T131" s="2089"/>
    </row>
    <row r="132" spans="1:20" s="930" customFormat="1" ht="15" customHeight="1">
      <c r="A132" s="617"/>
      <c r="B132" s="632"/>
      <c r="C132" s="719"/>
      <c r="D132" s="632"/>
      <c r="E132" s="725"/>
      <c r="F132" s="2060" t="s">
        <v>2438</v>
      </c>
      <c r="G132" s="2094">
        <v>100000</v>
      </c>
      <c r="H132" s="2061" t="s">
        <v>454</v>
      </c>
      <c r="I132" s="2066">
        <v>1</v>
      </c>
      <c r="J132" s="2061" t="s">
        <v>454</v>
      </c>
      <c r="K132" s="2062">
        <v>15</v>
      </c>
      <c r="L132" s="2091"/>
      <c r="M132" s="2092"/>
      <c r="N132" s="2064"/>
      <c r="O132" s="2064" t="s">
        <v>22</v>
      </c>
      <c r="P132" s="2065">
        <f t="shared" si="57"/>
        <v>1500000</v>
      </c>
      <c r="Q132" s="694"/>
      <c r="R132" s="694"/>
      <c r="S132" s="695"/>
      <c r="T132" s="2089"/>
    </row>
    <row r="133" spans="1:20" s="930" customFormat="1" ht="15" customHeight="1">
      <c r="A133" s="617"/>
      <c r="B133" s="632"/>
      <c r="C133" s="719"/>
      <c r="D133" s="632"/>
      <c r="E133" s="725"/>
      <c r="F133" s="2060" t="s">
        <v>2439</v>
      </c>
      <c r="G133" s="2094">
        <v>150000</v>
      </c>
      <c r="H133" s="2061" t="s">
        <v>454</v>
      </c>
      <c r="I133" s="2066">
        <v>1</v>
      </c>
      <c r="J133" s="2061" t="s">
        <v>454</v>
      </c>
      <c r="K133" s="2062">
        <v>15</v>
      </c>
      <c r="L133" s="2091"/>
      <c r="M133" s="2092"/>
      <c r="N133" s="2064"/>
      <c r="O133" s="2064" t="s">
        <v>22</v>
      </c>
      <c r="P133" s="2065">
        <f t="shared" si="57"/>
        <v>2250000</v>
      </c>
      <c r="Q133" s="694"/>
      <c r="R133" s="694"/>
      <c r="S133" s="695"/>
      <c r="T133" s="2089"/>
    </row>
    <row r="134" spans="1:20" s="930" customFormat="1" ht="15" customHeight="1">
      <c r="A134" s="617"/>
      <c r="B134" s="632"/>
      <c r="C134" s="719"/>
      <c r="D134" s="632"/>
      <c r="E134" s="725"/>
      <c r="F134" s="2060" t="s">
        <v>2440</v>
      </c>
      <c r="G134" s="2094">
        <v>20000</v>
      </c>
      <c r="H134" s="2061" t="s">
        <v>454</v>
      </c>
      <c r="I134" s="2062">
        <v>3</v>
      </c>
      <c r="J134" s="2061"/>
      <c r="K134" s="2062"/>
      <c r="L134" s="2091"/>
      <c r="M134" s="2092"/>
      <c r="N134" s="2064"/>
      <c r="O134" s="2064" t="s">
        <v>22</v>
      </c>
      <c r="P134" s="2065">
        <f t="shared" si="57"/>
        <v>60000</v>
      </c>
      <c r="Q134" s="694"/>
      <c r="R134" s="694"/>
      <c r="S134" s="695"/>
      <c r="T134" s="2089"/>
    </row>
    <row r="135" spans="1:20" s="930" customFormat="1" ht="15" customHeight="1">
      <c r="A135" s="617"/>
      <c r="B135" s="632"/>
      <c r="C135" s="719"/>
      <c r="D135" s="632"/>
      <c r="E135" s="725"/>
      <c r="F135" s="2060" t="s">
        <v>2441</v>
      </c>
      <c r="G135" s="2093">
        <v>15000</v>
      </c>
      <c r="H135" s="2061" t="s">
        <v>454</v>
      </c>
      <c r="I135" s="2066">
        <v>20</v>
      </c>
      <c r="J135" s="2061" t="s">
        <v>454</v>
      </c>
      <c r="K135" s="2062">
        <v>2</v>
      </c>
      <c r="L135" s="2063"/>
      <c r="M135" s="2061"/>
      <c r="N135" s="2064"/>
      <c r="O135" s="2064" t="s">
        <v>22</v>
      </c>
      <c r="P135" s="2065">
        <f t="shared" si="57"/>
        <v>600000</v>
      </c>
      <c r="Q135" s="694"/>
      <c r="R135" s="694"/>
      <c r="S135" s="695"/>
      <c r="T135" s="2089"/>
    </row>
    <row r="136" spans="1:20" s="930" customFormat="1" ht="15" customHeight="1">
      <c r="A136" s="617"/>
      <c r="B136" s="632"/>
      <c r="C136" s="719"/>
      <c r="D136" s="632"/>
      <c r="E136" s="725"/>
      <c r="F136" s="2060" t="s">
        <v>2442</v>
      </c>
      <c r="G136" s="2094">
        <v>1540000</v>
      </c>
      <c r="H136" s="2061" t="s">
        <v>454</v>
      </c>
      <c r="I136" s="2062">
        <v>1</v>
      </c>
      <c r="J136" s="2061"/>
      <c r="K136" s="2062"/>
      <c r="L136" s="2091"/>
      <c r="M136" s="2092"/>
      <c r="N136" s="2064"/>
      <c r="O136" s="2064" t="s">
        <v>22</v>
      </c>
      <c r="P136" s="2065">
        <f t="shared" si="57"/>
        <v>1540000</v>
      </c>
      <c r="Q136" s="694"/>
      <c r="R136" s="694"/>
      <c r="S136" s="695"/>
      <c r="T136" s="2089"/>
    </row>
    <row r="137" spans="1:20" s="930" customFormat="1" ht="15" customHeight="1">
      <c r="A137" s="617"/>
      <c r="B137" s="632"/>
      <c r="C137" s="719"/>
      <c r="D137" s="632"/>
      <c r="E137" s="725"/>
      <c r="F137" s="2002" t="s">
        <v>1705</v>
      </c>
      <c r="G137" s="1004"/>
      <c r="H137" s="992"/>
      <c r="I137" s="992"/>
      <c r="J137" s="992"/>
      <c r="K137" s="992"/>
      <c r="L137" s="2003"/>
      <c r="M137" s="992"/>
      <c r="N137" s="1022"/>
      <c r="O137" s="1022"/>
      <c r="P137" s="994">
        <f>SUM(P138:P144)</f>
        <v>4310000</v>
      </c>
      <c r="Q137" s="1018">
        <f>P137</f>
        <v>4310000</v>
      </c>
      <c r="R137" s="2004">
        <v>2130000</v>
      </c>
      <c r="S137" s="2005">
        <f t="shared" ref="S137" si="58">Q137-R137</f>
        <v>2180000</v>
      </c>
      <c r="T137" s="2006">
        <f t="shared" ref="T137" si="59">S137/R137</f>
        <v>1.0234741784037558</v>
      </c>
    </row>
    <row r="138" spans="1:20" s="930" customFormat="1" ht="15" customHeight="1">
      <c r="A138" s="617"/>
      <c r="B138" s="632"/>
      <c r="C138" s="719"/>
      <c r="D138" s="632"/>
      <c r="E138" s="725"/>
      <c r="F138" s="2060" t="s">
        <v>2443</v>
      </c>
      <c r="G138" s="2093">
        <v>200000</v>
      </c>
      <c r="H138" s="2061" t="s">
        <v>454</v>
      </c>
      <c r="I138" s="2062">
        <v>1</v>
      </c>
      <c r="J138" s="2061"/>
      <c r="K138" s="2061"/>
      <c r="L138" s="2063"/>
      <c r="M138" s="2061"/>
      <c r="N138" s="2064"/>
      <c r="O138" s="2064" t="s">
        <v>22</v>
      </c>
      <c r="P138" s="2065">
        <f t="shared" ref="P138:P144" si="60">PRODUCT(G138:N138)</f>
        <v>200000</v>
      </c>
      <c r="Q138" s="694"/>
      <c r="R138" s="694"/>
      <c r="S138" s="695"/>
      <c r="T138" s="2089"/>
    </row>
    <row r="139" spans="1:20" s="930" customFormat="1" ht="15" customHeight="1">
      <c r="A139" s="617"/>
      <c r="B139" s="632"/>
      <c r="C139" s="719"/>
      <c r="D139" s="632"/>
      <c r="E139" s="725"/>
      <c r="F139" s="2060" t="s">
        <v>2444</v>
      </c>
      <c r="G139" s="2093">
        <v>210000</v>
      </c>
      <c r="H139" s="2061" t="s">
        <v>454</v>
      </c>
      <c r="I139" s="2062">
        <v>4</v>
      </c>
      <c r="J139" s="2061"/>
      <c r="K139" s="2062"/>
      <c r="L139" s="2063"/>
      <c r="M139" s="2061"/>
      <c r="N139" s="2064"/>
      <c r="O139" s="2064" t="s">
        <v>22</v>
      </c>
      <c r="P139" s="2065">
        <f t="shared" si="60"/>
        <v>840000</v>
      </c>
      <c r="Q139" s="694"/>
      <c r="R139" s="694"/>
      <c r="S139" s="695"/>
      <c r="T139" s="2089"/>
    </row>
    <row r="140" spans="1:20" s="930" customFormat="1" ht="15" customHeight="1">
      <c r="A140" s="617"/>
      <c r="B140" s="632"/>
      <c r="C140" s="719"/>
      <c r="D140" s="632"/>
      <c r="E140" s="725"/>
      <c r="F140" s="2060" t="s">
        <v>2445</v>
      </c>
      <c r="G140" s="2093">
        <v>400000</v>
      </c>
      <c r="H140" s="2061" t="s">
        <v>454</v>
      </c>
      <c r="I140" s="2095">
        <v>4</v>
      </c>
      <c r="J140" s="2061"/>
      <c r="K140" s="2062"/>
      <c r="L140" s="2063"/>
      <c r="M140" s="2061"/>
      <c r="N140" s="2064"/>
      <c r="O140" s="2064" t="s">
        <v>22</v>
      </c>
      <c r="P140" s="2065">
        <f t="shared" si="60"/>
        <v>1600000</v>
      </c>
      <c r="Q140" s="694"/>
      <c r="R140" s="694"/>
      <c r="S140" s="695"/>
      <c r="T140" s="2089"/>
    </row>
    <row r="141" spans="1:20" s="930" customFormat="1" ht="15" customHeight="1">
      <c r="A141" s="617"/>
      <c r="B141" s="632"/>
      <c r="C141" s="719"/>
      <c r="D141" s="632"/>
      <c r="E141" s="725"/>
      <c r="F141" s="2060" t="s">
        <v>2446</v>
      </c>
      <c r="G141" s="2093">
        <v>200000</v>
      </c>
      <c r="H141" s="2061" t="s">
        <v>454</v>
      </c>
      <c r="I141" s="2095">
        <v>4</v>
      </c>
      <c r="J141" s="2061"/>
      <c r="K141" s="2062"/>
      <c r="L141" s="2063"/>
      <c r="M141" s="2061"/>
      <c r="N141" s="2064"/>
      <c r="O141" s="2064" t="s">
        <v>22</v>
      </c>
      <c r="P141" s="2065">
        <f t="shared" si="60"/>
        <v>800000</v>
      </c>
      <c r="Q141" s="694"/>
      <c r="R141" s="694"/>
      <c r="S141" s="695"/>
      <c r="T141" s="2089"/>
    </row>
    <row r="142" spans="1:20" s="930" customFormat="1" ht="15" customHeight="1">
      <c r="A142" s="617"/>
      <c r="B142" s="632"/>
      <c r="C142" s="719"/>
      <c r="D142" s="632"/>
      <c r="E142" s="725"/>
      <c r="F142" s="2060" t="s">
        <v>2447</v>
      </c>
      <c r="G142" s="2093">
        <v>50000</v>
      </c>
      <c r="H142" s="2061" t="s">
        <v>454</v>
      </c>
      <c r="I142" s="2095">
        <v>1</v>
      </c>
      <c r="J142" s="2061"/>
      <c r="K142" s="2062"/>
      <c r="L142" s="2063"/>
      <c r="M142" s="2061"/>
      <c r="N142" s="2064"/>
      <c r="O142" s="2064" t="s">
        <v>22</v>
      </c>
      <c r="P142" s="2065">
        <f t="shared" si="60"/>
        <v>50000</v>
      </c>
      <c r="Q142" s="694"/>
      <c r="R142" s="694"/>
      <c r="S142" s="695"/>
      <c r="T142" s="2089"/>
    </row>
    <row r="143" spans="1:20" s="930" customFormat="1" ht="15" customHeight="1">
      <c r="A143" s="617"/>
      <c r="B143" s="632"/>
      <c r="C143" s="719"/>
      <c r="D143" s="632"/>
      <c r="E143" s="725"/>
      <c r="F143" s="2060" t="s">
        <v>2448</v>
      </c>
      <c r="G143" s="2094">
        <v>7000</v>
      </c>
      <c r="H143" s="2061" t="s">
        <v>454</v>
      </c>
      <c r="I143" s="2066">
        <v>10</v>
      </c>
      <c r="J143" s="2061" t="s">
        <v>454</v>
      </c>
      <c r="K143" s="2062">
        <v>7</v>
      </c>
      <c r="L143" s="2091"/>
      <c r="M143" s="2092"/>
      <c r="N143" s="2064"/>
      <c r="O143" s="2064" t="s">
        <v>22</v>
      </c>
      <c r="P143" s="2065">
        <f t="shared" si="60"/>
        <v>490000</v>
      </c>
      <c r="Q143" s="694"/>
      <c r="R143" s="694"/>
      <c r="S143" s="695"/>
      <c r="T143" s="2089"/>
    </row>
    <row r="144" spans="1:20" s="930" customFormat="1" ht="15" customHeight="1">
      <c r="A144" s="617"/>
      <c r="B144" s="632"/>
      <c r="C144" s="719"/>
      <c r="D144" s="632"/>
      <c r="E144" s="725"/>
      <c r="F144" s="2060" t="s">
        <v>2449</v>
      </c>
      <c r="G144" s="2094">
        <v>3000</v>
      </c>
      <c r="H144" s="2061" t="s">
        <v>454</v>
      </c>
      <c r="I144" s="2066">
        <v>10</v>
      </c>
      <c r="J144" s="2061" t="s">
        <v>454</v>
      </c>
      <c r="K144" s="2062">
        <v>11</v>
      </c>
      <c r="L144" s="2091"/>
      <c r="M144" s="2092"/>
      <c r="N144" s="2064"/>
      <c r="O144" s="2064" t="s">
        <v>22</v>
      </c>
      <c r="P144" s="2065">
        <f t="shared" si="60"/>
        <v>330000</v>
      </c>
      <c r="Q144" s="694"/>
      <c r="R144" s="694"/>
      <c r="S144" s="695"/>
      <c r="T144" s="2089"/>
    </row>
    <row r="145" spans="1:20" s="930" customFormat="1" ht="15" customHeight="1">
      <c r="A145" s="617"/>
      <c r="B145" s="632"/>
      <c r="C145" s="719"/>
      <c r="D145" s="632"/>
      <c r="E145" s="725"/>
      <c r="F145" s="2002" t="s">
        <v>1710</v>
      </c>
      <c r="G145" s="1004"/>
      <c r="H145" s="992"/>
      <c r="I145" s="992"/>
      <c r="J145" s="992"/>
      <c r="K145" s="992"/>
      <c r="L145" s="2003"/>
      <c r="M145" s="992"/>
      <c r="N145" s="1022"/>
      <c r="O145" s="1022"/>
      <c r="P145" s="994">
        <f>SUM(P146:P152)</f>
        <v>4230000</v>
      </c>
      <c r="Q145" s="1018">
        <f>P145</f>
        <v>4230000</v>
      </c>
      <c r="R145" s="2004">
        <v>0</v>
      </c>
      <c r="S145" s="2005">
        <f t="shared" ref="S145" si="61">Q145-R145</f>
        <v>4230000</v>
      </c>
      <c r="T145" s="2006"/>
    </row>
    <row r="146" spans="1:20" s="930" customFormat="1" ht="15" customHeight="1">
      <c r="A146" s="617"/>
      <c r="B146" s="632"/>
      <c r="C146" s="719"/>
      <c r="D146" s="632"/>
      <c r="E146" s="725"/>
      <c r="F146" s="2060" t="s">
        <v>2450</v>
      </c>
      <c r="G146" s="2093">
        <v>250000</v>
      </c>
      <c r="H146" s="2061" t="s">
        <v>454</v>
      </c>
      <c r="I146" s="2062">
        <v>1</v>
      </c>
      <c r="J146" s="2061"/>
      <c r="K146" s="2061"/>
      <c r="L146" s="2063"/>
      <c r="M146" s="2061"/>
      <c r="N146" s="2064"/>
      <c r="O146" s="2064" t="s">
        <v>22</v>
      </c>
      <c r="P146" s="2065">
        <f t="shared" ref="P146:P152" si="62">PRODUCT(G146:N146)</f>
        <v>250000</v>
      </c>
      <c r="Q146" s="694"/>
      <c r="R146" s="694"/>
      <c r="S146" s="695"/>
      <c r="T146" s="2089"/>
    </row>
    <row r="147" spans="1:20" s="930" customFormat="1" ht="15" customHeight="1">
      <c r="A147" s="617"/>
      <c r="B147" s="632"/>
      <c r="C147" s="719"/>
      <c r="D147" s="632"/>
      <c r="E147" s="725"/>
      <c r="F147" s="2060" t="s">
        <v>2451</v>
      </c>
      <c r="G147" s="2093">
        <v>250000</v>
      </c>
      <c r="H147" s="2061" t="s">
        <v>454</v>
      </c>
      <c r="I147" s="2096">
        <v>4</v>
      </c>
      <c r="J147" s="2061"/>
      <c r="K147" s="2061"/>
      <c r="L147" s="2063"/>
      <c r="M147" s="2061"/>
      <c r="N147" s="2064"/>
      <c r="O147" s="2064" t="s">
        <v>22</v>
      </c>
      <c r="P147" s="2065">
        <f t="shared" si="62"/>
        <v>1000000</v>
      </c>
      <c r="Q147" s="694"/>
      <c r="R147" s="694"/>
      <c r="S147" s="695"/>
      <c r="T147" s="2089"/>
    </row>
    <row r="148" spans="1:20" s="930" customFormat="1" ht="15" customHeight="1">
      <c r="A148" s="617"/>
      <c r="B148" s="632"/>
      <c r="C148" s="719"/>
      <c r="D148" s="632"/>
      <c r="E148" s="725"/>
      <c r="F148" s="2060" t="s">
        <v>2452</v>
      </c>
      <c r="G148" s="2093">
        <v>60000</v>
      </c>
      <c r="H148" s="2061" t="s">
        <v>454</v>
      </c>
      <c r="I148" s="2096">
        <v>4</v>
      </c>
      <c r="J148" s="2061"/>
      <c r="K148" s="2062"/>
      <c r="L148" s="2063"/>
      <c r="M148" s="2061"/>
      <c r="N148" s="2064"/>
      <c r="O148" s="2064" t="s">
        <v>22</v>
      </c>
      <c r="P148" s="2065">
        <f t="shared" si="62"/>
        <v>240000</v>
      </c>
      <c r="Q148" s="694"/>
      <c r="R148" s="694"/>
      <c r="S148" s="695"/>
      <c r="T148" s="2089"/>
    </row>
    <row r="149" spans="1:20" s="930" customFormat="1" ht="15" customHeight="1">
      <c r="A149" s="617"/>
      <c r="B149" s="632"/>
      <c r="C149" s="719"/>
      <c r="D149" s="632"/>
      <c r="E149" s="725"/>
      <c r="F149" s="2060" t="s">
        <v>2453</v>
      </c>
      <c r="G149" s="2093">
        <v>450000</v>
      </c>
      <c r="H149" s="2061" t="s">
        <v>454</v>
      </c>
      <c r="I149" s="2096">
        <v>4</v>
      </c>
      <c r="J149" s="2061"/>
      <c r="K149" s="2062"/>
      <c r="L149" s="2063"/>
      <c r="M149" s="2061"/>
      <c r="N149" s="2064"/>
      <c r="O149" s="2064" t="s">
        <v>22</v>
      </c>
      <c r="P149" s="2065">
        <f t="shared" si="62"/>
        <v>1800000</v>
      </c>
      <c r="Q149" s="694"/>
      <c r="R149" s="694"/>
      <c r="S149" s="695"/>
      <c r="T149" s="2089"/>
    </row>
    <row r="150" spans="1:20" s="930" customFormat="1" ht="15" customHeight="1">
      <c r="A150" s="617"/>
      <c r="B150" s="632"/>
      <c r="C150" s="719"/>
      <c r="D150" s="632"/>
      <c r="E150" s="725"/>
      <c r="F150" s="2060" t="s">
        <v>2454</v>
      </c>
      <c r="G150" s="2093">
        <v>70000</v>
      </c>
      <c r="H150" s="2061" t="s">
        <v>454</v>
      </c>
      <c r="I150" s="2096">
        <v>4</v>
      </c>
      <c r="J150" s="2061"/>
      <c r="K150" s="2062"/>
      <c r="L150" s="2063"/>
      <c r="M150" s="2061"/>
      <c r="N150" s="2064"/>
      <c r="O150" s="2064" t="s">
        <v>22</v>
      </c>
      <c r="P150" s="2065">
        <f t="shared" si="62"/>
        <v>280000</v>
      </c>
      <c r="Q150" s="694"/>
      <c r="R150" s="694"/>
      <c r="S150" s="695"/>
      <c r="T150" s="2089"/>
    </row>
    <row r="151" spans="1:20" s="930" customFormat="1" ht="15" customHeight="1">
      <c r="A151" s="617"/>
      <c r="B151" s="632"/>
      <c r="C151" s="719"/>
      <c r="D151" s="632"/>
      <c r="E151" s="725"/>
      <c r="F151" s="2060" t="s">
        <v>2455</v>
      </c>
      <c r="G151" s="2094">
        <v>7000</v>
      </c>
      <c r="H151" s="2061" t="s">
        <v>454</v>
      </c>
      <c r="I151" s="2066">
        <v>20</v>
      </c>
      <c r="J151" s="2061" t="s">
        <v>454</v>
      </c>
      <c r="K151" s="2062">
        <v>3</v>
      </c>
      <c r="L151" s="2091"/>
      <c r="M151" s="2092"/>
      <c r="N151" s="2064"/>
      <c r="O151" s="2064" t="s">
        <v>22</v>
      </c>
      <c r="P151" s="2065">
        <f t="shared" si="62"/>
        <v>420000</v>
      </c>
      <c r="Q151" s="694"/>
      <c r="R151" s="694"/>
      <c r="S151" s="695"/>
      <c r="T151" s="2089"/>
    </row>
    <row r="152" spans="1:20" s="930" customFormat="1" ht="15" customHeight="1">
      <c r="A152" s="617"/>
      <c r="B152" s="632"/>
      <c r="C152" s="719"/>
      <c r="D152" s="632"/>
      <c r="E152" s="725"/>
      <c r="F152" s="2060" t="s">
        <v>2456</v>
      </c>
      <c r="G152" s="2094">
        <v>3000</v>
      </c>
      <c r="H152" s="2061" t="s">
        <v>454</v>
      </c>
      <c r="I152" s="2066">
        <v>20</v>
      </c>
      <c r="J152" s="2061" t="s">
        <v>454</v>
      </c>
      <c r="K152" s="2062">
        <v>4</v>
      </c>
      <c r="L152" s="2091"/>
      <c r="M152" s="2092"/>
      <c r="N152" s="2064"/>
      <c r="O152" s="2064" t="s">
        <v>22</v>
      </c>
      <c r="P152" s="2065">
        <f t="shared" si="62"/>
        <v>240000</v>
      </c>
      <c r="Q152" s="694"/>
      <c r="R152" s="694"/>
      <c r="S152" s="695"/>
      <c r="T152" s="2089"/>
    </row>
    <row r="153" spans="1:20" s="930" customFormat="1" ht="15" customHeight="1">
      <c r="A153" s="617"/>
      <c r="B153" s="632"/>
      <c r="C153" s="719"/>
      <c r="D153" s="632"/>
      <c r="E153" s="725"/>
      <c r="F153" s="2002" t="s">
        <v>1703</v>
      </c>
      <c r="G153" s="1004"/>
      <c r="H153" s="992"/>
      <c r="I153" s="992"/>
      <c r="J153" s="992"/>
      <c r="K153" s="992"/>
      <c r="L153" s="2003"/>
      <c r="M153" s="992"/>
      <c r="N153" s="1022"/>
      <c r="O153" s="1022"/>
      <c r="P153" s="994">
        <f>SUM(P154:P158)</f>
        <v>2920000</v>
      </c>
      <c r="Q153" s="1018">
        <f>P153</f>
        <v>2920000</v>
      </c>
      <c r="R153" s="2004">
        <v>0</v>
      </c>
      <c r="S153" s="2005">
        <f t="shared" ref="S153" si="63">Q153-R153</f>
        <v>2920000</v>
      </c>
      <c r="T153" s="2006"/>
    </row>
    <row r="154" spans="1:20" s="930" customFormat="1" ht="15" customHeight="1">
      <c r="A154" s="617"/>
      <c r="B154" s="632"/>
      <c r="C154" s="719"/>
      <c r="D154" s="632"/>
      <c r="E154" s="725"/>
      <c r="F154" s="2060" t="s">
        <v>2457</v>
      </c>
      <c r="G154" s="2093">
        <v>250000</v>
      </c>
      <c r="H154" s="2061" t="s">
        <v>454</v>
      </c>
      <c r="I154" s="2062">
        <v>4</v>
      </c>
      <c r="J154" s="2061"/>
      <c r="K154" s="2061"/>
      <c r="L154" s="2063"/>
      <c r="M154" s="2061"/>
      <c r="N154" s="2064"/>
      <c r="O154" s="2064" t="s">
        <v>22</v>
      </c>
      <c r="P154" s="2065">
        <f>PRODUCT(G154:N154)</f>
        <v>1000000</v>
      </c>
      <c r="Q154" s="694"/>
      <c r="R154" s="694"/>
      <c r="S154" s="695"/>
      <c r="T154" s="2089"/>
    </row>
    <row r="155" spans="1:20" s="930" customFormat="1" ht="15" customHeight="1">
      <c r="A155" s="617"/>
      <c r="B155" s="632"/>
      <c r="C155" s="719"/>
      <c r="D155" s="632"/>
      <c r="E155" s="725"/>
      <c r="F155" s="2060" t="s">
        <v>2458</v>
      </c>
      <c r="G155" s="2093">
        <v>50000</v>
      </c>
      <c r="H155" s="2061" t="s">
        <v>454</v>
      </c>
      <c r="I155" s="2062">
        <v>1</v>
      </c>
      <c r="J155" s="2061"/>
      <c r="K155" s="2061"/>
      <c r="L155" s="2063"/>
      <c r="M155" s="2061"/>
      <c r="N155" s="2064"/>
      <c r="O155" s="2064" t="s">
        <v>22</v>
      </c>
      <c r="P155" s="2065">
        <f>PRODUCT(G155:N155)</f>
        <v>50000</v>
      </c>
      <c r="Q155" s="694"/>
      <c r="R155" s="694"/>
      <c r="S155" s="695"/>
      <c r="T155" s="2089"/>
    </row>
    <row r="156" spans="1:20" s="930" customFormat="1" ht="15" customHeight="1">
      <c r="A156" s="617"/>
      <c r="B156" s="632"/>
      <c r="C156" s="719"/>
      <c r="D156" s="632"/>
      <c r="E156" s="725"/>
      <c r="F156" s="2060" t="s">
        <v>2459</v>
      </c>
      <c r="G156" s="2093">
        <v>950000</v>
      </c>
      <c r="H156" s="2061" t="s">
        <v>454</v>
      </c>
      <c r="I156" s="2062">
        <v>1</v>
      </c>
      <c r="J156" s="2061"/>
      <c r="K156" s="2062"/>
      <c r="L156" s="2063"/>
      <c r="M156" s="2061"/>
      <c r="N156" s="2064"/>
      <c r="O156" s="2064" t="s">
        <v>22</v>
      </c>
      <c r="P156" s="2065">
        <f>PRODUCT(G156:N156)</f>
        <v>950000</v>
      </c>
      <c r="Q156" s="694"/>
      <c r="R156" s="694"/>
      <c r="S156" s="695"/>
      <c r="T156" s="2089"/>
    </row>
    <row r="157" spans="1:20" s="930" customFormat="1" ht="15" customHeight="1">
      <c r="A157" s="617"/>
      <c r="B157" s="632"/>
      <c r="C157" s="719"/>
      <c r="D157" s="632"/>
      <c r="E157" s="725"/>
      <c r="F157" s="2060" t="s">
        <v>2460</v>
      </c>
      <c r="G157" s="2093">
        <v>7000</v>
      </c>
      <c r="H157" s="2061" t="s">
        <v>454</v>
      </c>
      <c r="I157" s="2066">
        <v>20</v>
      </c>
      <c r="J157" s="2061" t="s">
        <v>454</v>
      </c>
      <c r="K157" s="2062">
        <v>4</v>
      </c>
      <c r="L157" s="2063"/>
      <c r="M157" s="2061"/>
      <c r="N157" s="2064"/>
      <c r="O157" s="2064" t="s">
        <v>22</v>
      </c>
      <c r="P157" s="2065">
        <f>PRODUCT(G157:N157)</f>
        <v>560000</v>
      </c>
      <c r="Q157" s="694"/>
      <c r="R157" s="694"/>
      <c r="S157" s="695"/>
      <c r="T157" s="2089"/>
    </row>
    <row r="158" spans="1:20" s="930" customFormat="1" ht="15" customHeight="1">
      <c r="A158" s="617"/>
      <c r="B158" s="632"/>
      <c r="C158" s="719"/>
      <c r="D158" s="632"/>
      <c r="E158" s="725"/>
      <c r="F158" s="2060" t="s">
        <v>2461</v>
      </c>
      <c r="G158" s="2094">
        <v>3000</v>
      </c>
      <c r="H158" s="2061" t="s">
        <v>454</v>
      </c>
      <c r="I158" s="2066">
        <v>20</v>
      </c>
      <c r="J158" s="2061" t="s">
        <v>454</v>
      </c>
      <c r="K158" s="2062">
        <v>6</v>
      </c>
      <c r="L158" s="2091"/>
      <c r="M158" s="2092"/>
      <c r="N158" s="2064"/>
      <c r="O158" s="2064" t="s">
        <v>22</v>
      </c>
      <c r="P158" s="2065">
        <f>PRODUCT(G158:N158)</f>
        <v>360000</v>
      </c>
      <c r="Q158" s="694"/>
      <c r="R158" s="694"/>
      <c r="S158" s="695"/>
      <c r="T158" s="2089"/>
    </row>
    <row r="159" spans="1:20" s="930" customFormat="1" ht="15" customHeight="1">
      <c r="A159" s="617"/>
      <c r="B159" s="632"/>
      <c r="C159" s="719"/>
      <c r="D159" s="632"/>
      <c r="E159" s="725"/>
      <c r="F159" s="2002" t="s">
        <v>1711</v>
      </c>
      <c r="G159" s="1004"/>
      <c r="H159" s="992"/>
      <c r="I159" s="992"/>
      <c r="J159" s="992"/>
      <c r="K159" s="992"/>
      <c r="L159" s="2003"/>
      <c r="M159" s="992"/>
      <c r="N159" s="1022"/>
      <c r="O159" s="1022"/>
      <c r="P159" s="994">
        <f>SUM(P160:P162)</f>
        <v>2630000</v>
      </c>
      <c r="Q159" s="1018">
        <f>P159</f>
        <v>2630000</v>
      </c>
      <c r="R159" s="2004">
        <v>845000</v>
      </c>
      <c r="S159" s="2005">
        <f t="shared" ref="S159" si="64">Q159-R159</f>
        <v>1785000</v>
      </c>
      <c r="T159" s="2006">
        <f t="shared" ref="T159" si="65">S159/R159</f>
        <v>2.1124260355029585</v>
      </c>
    </row>
    <row r="160" spans="1:20" s="930" customFormat="1" ht="15" customHeight="1">
      <c r="A160" s="617"/>
      <c r="B160" s="632"/>
      <c r="C160" s="719"/>
      <c r="D160" s="632"/>
      <c r="E160" s="725"/>
      <c r="F160" s="2060" t="s">
        <v>2462</v>
      </c>
      <c r="G160" s="2093">
        <v>1370000</v>
      </c>
      <c r="H160" s="2061" t="s">
        <v>454</v>
      </c>
      <c r="I160" s="2062">
        <v>1</v>
      </c>
      <c r="J160" s="2061"/>
      <c r="K160" s="2061"/>
      <c r="L160" s="2063"/>
      <c r="M160" s="2061"/>
      <c r="N160" s="2064"/>
      <c r="O160" s="2064" t="s">
        <v>22</v>
      </c>
      <c r="P160" s="2065">
        <f>PRODUCT(G160:N160)</f>
        <v>1370000</v>
      </c>
      <c r="Q160" s="694"/>
      <c r="R160" s="694"/>
      <c r="S160" s="695"/>
      <c r="T160" s="2089"/>
    </row>
    <row r="161" spans="1:20" s="930" customFormat="1" ht="15" customHeight="1">
      <c r="A161" s="617"/>
      <c r="B161" s="632"/>
      <c r="C161" s="719"/>
      <c r="D161" s="632"/>
      <c r="E161" s="725"/>
      <c r="F161" s="2060" t="s">
        <v>2463</v>
      </c>
      <c r="G161" s="2093">
        <v>3000</v>
      </c>
      <c r="H161" s="2061" t="s">
        <v>454</v>
      </c>
      <c r="I161" s="2066">
        <v>20</v>
      </c>
      <c r="J161" s="2061" t="s">
        <v>454</v>
      </c>
      <c r="K161" s="2062">
        <v>7</v>
      </c>
      <c r="L161" s="2063"/>
      <c r="M161" s="2061"/>
      <c r="N161" s="2064"/>
      <c r="O161" s="2064" t="s">
        <v>22</v>
      </c>
      <c r="P161" s="2065">
        <f>PRODUCT(G161:N161)</f>
        <v>420000</v>
      </c>
      <c r="Q161" s="694"/>
      <c r="R161" s="694"/>
      <c r="S161" s="695"/>
      <c r="T161" s="2089"/>
    </row>
    <row r="162" spans="1:20" s="930" customFormat="1" ht="15" customHeight="1">
      <c r="A162" s="617"/>
      <c r="B162" s="632"/>
      <c r="C162" s="719"/>
      <c r="D162" s="632"/>
      <c r="E162" s="725"/>
      <c r="F162" s="2060" t="s">
        <v>2464</v>
      </c>
      <c r="G162" s="2093">
        <v>7000</v>
      </c>
      <c r="H162" s="2061" t="s">
        <v>454</v>
      </c>
      <c r="I162" s="2066">
        <v>20</v>
      </c>
      <c r="J162" s="2061" t="s">
        <v>454</v>
      </c>
      <c r="K162" s="2062">
        <v>6</v>
      </c>
      <c r="L162" s="2063"/>
      <c r="M162" s="2061"/>
      <c r="N162" s="2064"/>
      <c r="O162" s="2064" t="s">
        <v>22</v>
      </c>
      <c r="P162" s="2065">
        <f>PRODUCT(G162:N162)</f>
        <v>840000</v>
      </c>
      <c r="Q162" s="694"/>
      <c r="R162" s="694"/>
      <c r="S162" s="695"/>
      <c r="T162" s="2089"/>
    </row>
    <row r="163" spans="1:20" s="930" customFormat="1" ht="15" customHeight="1">
      <c r="A163" s="617"/>
      <c r="B163" s="632"/>
      <c r="C163" s="719"/>
      <c r="D163" s="632"/>
      <c r="E163" s="725"/>
      <c r="F163" s="2002" t="s">
        <v>1712</v>
      </c>
      <c r="G163" s="1004"/>
      <c r="H163" s="992"/>
      <c r="I163" s="992"/>
      <c r="J163" s="992"/>
      <c r="K163" s="992"/>
      <c r="L163" s="2003"/>
      <c r="M163" s="992"/>
      <c r="N163" s="1022"/>
      <c r="O163" s="1022"/>
      <c r="P163" s="994">
        <f>SUM(P164:P169)</f>
        <v>8825000</v>
      </c>
      <c r="Q163" s="1018">
        <f>P163</f>
        <v>8825000</v>
      </c>
      <c r="R163" s="2004">
        <v>0</v>
      </c>
      <c r="S163" s="2005">
        <f t="shared" ref="S163" si="66">Q163-R163</f>
        <v>8825000</v>
      </c>
      <c r="T163" s="2006"/>
    </row>
    <row r="164" spans="1:20" s="930" customFormat="1" ht="15" customHeight="1">
      <c r="A164" s="617"/>
      <c r="B164" s="632"/>
      <c r="C164" s="719"/>
      <c r="D164" s="632"/>
      <c r="E164" s="725"/>
      <c r="F164" s="2060" t="s">
        <v>2465</v>
      </c>
      <c r="G164" s="2093">
        <v>1035000</v>
      </c>
      <c r="H164" s="2061" t="s">
        <v>454</v>
      </c>
      <c r="I164" s="2062">
        <v>1</v>
      </c>
      <c r="J164" s="2061"/>
      <c r="K164" s="2061"/>
      <c r="L164" s="2063"/>
      <c r="M164" s="2061"/>
      <c r="N164" s="2064"/>
      <c r="O164" s="2064" t="s">
        <v>22</v>
      </c>
      <c r="P164" s="2065">
        <f t="shared" ref="P164:P169" si="67">PRODUCT(G164:N164)</f>
        <v>1035000</v>
      </c>
      <c r="Q164" s="694"/>
      <c r="R164" s="694"/>
      <c r="S164" s="695"/>
      <c r="T164" s="2089"/>
    </row>
    <row r="165" spans="1:20" s="930" customFormat="1" ht="15" customHeight="1">
      <c r="A165" s="759"/>
      <c r="B165" s="703"/>
      <c r="C165" s="619"/>
      <c r="D165" s="703"/>
      <c r="E165" s="726"/>
      <c r="F165" s="2098" t="s">
        <v>2466</v>
      </c>
      <c r="G165" s="2187">
        <v>360000</v>
      </c>
      <c r="H165" s="2099" t="s">
        <v>454</v>
      </c>
      <c r="I165" s="2100">
        <v>4</v>
      </c>
      <c r="J165" s="2099"/>
      <c r="K165" s="2099"/>
      <c r="L165" s="2101"/>
      <c r="M165" s="2099"/>
      <c r="N165" s="2102"/>
      <c r="O165" s="2102" t="s">
        <v>22</v>
      </c>
      <c r="P165" s="2081">
        <f t="shared" si="67"/>
        <v>1440000</v>
      </c>
      <c r="Q165" s="712"/>
      <c r="R165" s="712"/>
      <c r="S165" s="713"/>
      <c r="T165" s="2103"/>
    </row>
    <row r="166" spans="1:20" s="930" customFormat="1" ht="15" customHeight="1">
      <c r="A166" s="3007"/>
      <c r="B166" s="626"/>
      <c r="C166" s="733"/>
      <c r="D166" s="626"/>
      <c r="E166" s="724"/>
      <c r="F166" s="3044" t="s">
        <v>2467</v>
      </c>
      <c r="G166" s="3045">
        <v>100000</v>
      </c>
      <c r="H166" s="3046" t="s">
        <v>454</v>
      </c>
      <c r="I166" s="3047">
        <v>4</v>
      </c>
      <c r="J166" s="3046"/>
      <c r="K166" s="3046"/>
      <c r="L166" s="3048"/>
      <c r="M166" s="3046"/>
      <c r="N166" s="3049"/>
      <c r="O166" s="3049" t="s">
        <v>22</v>
      </c>
      <c r="P166" s="3050">
        <f t="shared" si="67"/>
        <v>400000</v>
      </c>
      <c r="Q166" s="3016"/>
      <c r="R166" s="3016"/>
      <c r="S166" s="3017"/>
      <c r="T166" s="3051"/>
    </row>
    <row r="167" spans="1:20" s="930" customFormat="1" ht="15" customHeight="1">
      <c r="A167" s="617"/>
      <c r="B167" s="632"/>
      <c r="C167" s="719"/>
      <c r="D167" s="632"/>
      <c r="E167" s="725"/>
      <c r="F167" s="2060" t="s">
        <v>2468</v>
      </c>
      <c r="G167" s="2093">
        <v>1300000</v>
      </c>
      <c r="H167" s="2061" t="s">
        <v>454</v>
      </c>
      <c r="I167" s="2097">
        <v>4</v>
      </c>
      <c r="J167" s="2061"/>
      <c r="K167" s="2061"/>
      <c r="L167" s="2063"/>
      <c r="M167" s="2061"/>
      <c r="N167" s="2064"/>
      <c r="O167" s="2064" t="s">
        <v>22</v>
      </c>
      <c r="P167" s="2065">
        <f t="shared" si="67"/>
        <v>5200000</v>
      </c>
      <c r="Q167" s="694"/>
      <c r="R167" s="694"/>
      <c r="S167" s="695"/>
      <c r="T167" s="2089"/>
    </row>
    <row r="168" spans="1:20" s="930" customFormat="1" ht="15" customHeight="1">
      <c r="A168" s="617"/>
      <c r="B168" s="632"/>
      <c r="C168" s="719"/>
      <c r="D168" s="632"/>
      <c r="E168" s="725"/>
      <c r="F168" s="2060" t="s">
        <v>2469</v>
      </c>
      <c r="G168" s="2093">
        <v>7000</v>
      </c>
      <c r="H168" s="2061" t="s">
        <v>454</v>
      </c>
      <c r="I168" s="2066">
        <v>15</v>
      </c>
      <c r="J168" s="2061" t="s">
        <v>454</v>
      </c>
      <c r="K168" s="2062">
        <v>5</v>
      </c>
      <c r="L168" s="2063"/>
      <c r="M168" s="2061"/>
      <c r="N168" s="2064"/>
      <c r="O168" s="2064" t="s">
        <v>22</v>
      </c>
      <c r="P168" s="2065">
        <f t="shared" si="67"/>
        <v>525000</v>
      </c>
      <c r="Q168" s="694"/>
      <c r="R168" s="694"/>
      <c r="S168" s="695"/>
      <c r="T168" s="2089"/>
    </row>
    <row r="169" spans="1:20" s="930" customFormat="1" ht="15" customHeight="1">
      <c r="A169" s="617"/>
      <c r="B169" s="632"/>
      <c r="C169" s="719"/>
      <c r="D169" s="632"/>
      <c r="E169" s="725"/>
      <c r="F169" s="2060" t="s">
        <v>2470</v>
      </c>
      <c r="G169" s="2093">
        <v>3000</v>
      </c>
      <c r="H169" s="2061" t="s">
        <v>454</v>
      </c>
      <c r="I169" s="2066">
        <v>15</v>
      </c>
      <c r="J169" s="2061" t="s">
        <v>454</v>
      </c>
      <c r="K169" s="2062">
        <v>5</v>
      </c>
      <c r="L169" s="2063"/>
      <c r="M169" s="2061"/>
      <c r="N169" s="2064"/>
      <c r="O169" s="2064" t="s">
        <v>22</v>
      </c>
      <c r="P169" s="2065">
        <f t="shared" si="67"/>
        <v>225000</v>
      </c>
      <c r="Q169" s="694"/>
      <c r="R169" s="694"/>
      <c r="S169" s="695"/>
      <c r="T169" s="2089"/>
    </row>
    <row r="170" spans="1:20" s="930" customFormat="1" ht="15" customHeight="1">
      <c r="A170" s="617"/>
      <c r="B170" s="632"/>
      <c r="C170" s="719"/>
      <c r="D170" s="632"/>
      <c r="E170" s="725"/>
      <c r="F170" s="2002" t="s">
        <v>1713</v>
      </c>
      <c r="G170" s="1004"/>
      <c r="H170" s="992"/>
      <c r="I170" s="992"/>
      <c r="J170" s="992"/>
      <c r="K170" s="992"/>
      <c r="L170" s="2003"/>
      <c r="M170" s="992"/>
      <c r="N170" s="1022"/>
      <c r="O170" s="1022"/>
      <c r="P170" s="994">
        <f>SUM(P171:P173)</f>
        <v>2000000</v>
      </c>
      <c r="Q170" s="1018">
        <f>P170</f>
        <v>2000000</v>
      </c>
      <c r="R170" s="2004">
        <v>500000</v>
      </c>
      <c r="S170" s="2005">
        <f t="shared" ref="S170" si="68">Q170-R170</f>
        <v>1500000</v>
      </c>
      <c r="T170" s="2006">
        <f t="shared" ref="T170" si="69">S170/R170</f>
        <v>3</v>
      </c>
    </row>
    <row r="171" spans="1:20" s="930" customFormat="1" ht="15" customHeight="1">
      <c r="A171" s="617"/>
      <c r="B171" s="632"/>
      <c r="C171" s="719"/>
      <c r="D171" s="632"/>
      <c r="E171" s="725"/>
      <c r="F171" s="2060" t="s">
        <v>2471</v>
      </c>
      <c r="G171" s="1459">
        <v>3000</v>
      </c>
      <c r="H171" s="2061" t="s">
        <v>2472</v>
      </c>
      <c r="I171" s="2066">
        <v>45</v>
      </c>
      <c r="J171" s="2061" t="s">
        <v>2472</v>
      </c>
      <c r="K171" s="2062">
        <v>2</v>
      </c>
      <c r="L171" s="2063"/>
      <c r="M171" s="2061"/>
      <c r="N171" s="2064"/>
      <c r="O171" s="2064" t="s">
        <v>22</v>
      </c>
      <c r="P171" s="2065">
        <f>PRODUCT(G171:N171)</f>
        <v>270000</v>
      </c>
      <c r="Q171" s="694"/>
      <c r="R171" s="694"/>
      <c r="S171" s="695"/>
      <c r="T171" s="2089"/>
    </row>
    <row r="172" spans="1:20" s="930" customFormat="1" ht="15" customHeight="1">
      <c r="A172" s="617"/>
      <c r="B172" s="632"/>
      <c r="C172" s="719"/>
      <c r="D172" s="632"/>
      <c r="E172" s="725"/>
      <c r="F172" s="2060" t="s">
        <v>2473</v>
      </c>
      <c r="G172" s="1459">
        <v>760000</v>
      </c>
      <c r="H172" s="2061" t="s">
        <v>2472</v>
      </c>
      <c r="I172" s="2062">
        <v>2</v>
      </c>
      <c r="J172" s="2061"/>
      <c r="K172" s="2062"/>
      <c r="L172" s="2063"/>
      <c r="M172" s="2061"/>
      <c r="N172" s="2064"/>
      <c r="O172" s="2064" t="s">
        <v>22</v>
      </c>
      <c r="P172" s="2065">
        <f>PRODUCT(G172:N172)</f>
        <v>1520000</v>
      </c>
      <c r="Q172" s="694"/>
      <c r="R172" s="694"/>
      <c r="S172" s="695"/>
      <c r="T172" s="2089"/>
    </row>
    <row r="173" spans="1:20" s="930" customFormat="1" ht="15" customHeight="1">
      <c r="A173" s="617"/>
      <c r="B173" s="632"/>
      <c r="C173" s="719"/>
      <c r="D173" s="632"/>
      <c r="E173" s="725"/>
      <c r="F173" s="2060" t="s">
        <v>2474</v>
      </c>
      <c r="G173" s="1459">
        <v>7000</v>
      </c>
      <c r="H173" s="2061" t="s">
        <v>2472</v>
      </c>
      <c r="I173" s="2066">
        <v>30</v>
      </c>
      <c r="J173" s="2061"/>
      <c r="K173" s="2061"/>
      <c r="L173" s="2063"/>
      <c r="M173" s="2061"/>
      <c r="N173" s="2064"/>
      <c r="O173" s="2064" t="s">
        <v>22</v>
      </c>
      <c r="P173" s="2065">
        <f>PRODUCT(G173:N173)</f>
        <v>210000</v>
      </c>
      <c r="Q173" s="694"/>
      <c r="R173" s="694"/>
      <c r="S173" s="695"/>
      <c r="T173" s="2089"/>
    </row>
    <row r="174" spans="1:20" s="930" customFormat="1" ht="15" customHeight="1">
      <c r="A174" s="617"/>
      <c r="B174" s="632"/>
      <c r="C174" s="719"/>
      <c r="D174" s="632"/>
      <c r="E174" s="725"/>
      <c r="F174" s="2002" t="s">
        <v>1714</v>
      </c>
      <c r="G174" s="1004"/>
      <c r="H174" s="992"/>
      <c r="I174" s="992"/>
      <c r="J174" s="992"/>
      <c r="K174" s="992"/>
      <c r="L174" s="2003"/>
      <c r="M174" s="992"/>
      <c r="N174" s="1022"/>
      <c r="O174" s="1022"/>
      <c r="P174" s="994">
        <f>SUM(P175:P178)</f>
        <v>3000000</v>
      </c>
      <c r="Q174" s="1018">
        <f>P174</f>
        <v>3000000</v>
      </c>
      <c r="R174" s="2004">
        <v>750000</v>
      </c>
      <c r="S174" s="2005">
        <f t="shared" ref="S174" si="70">Q174-R174</f>
        <v>2250000</v>
      </c>
      <c r="T174" s="2006">
        <f t="shared" ref="T174" si="71">S174/R174</f>
        <v>3</v>
      </c>
    </row>
    <row r="175" spans="1:20" s="930" customFormat="1" ht="15" customHeight="1">
      <c r="A175" s="617"/>
      <c r="B175" s="632"/>
      <c r="C175" s="719"/>
      <c r="D175" s="632"/>
      <c r="E175" s="725"/>
      <c r="F175" s="2060" t="s">
        <v>2475</v>
      </c>
      <c r="G175" s="1459">
        <v>100000</v>
      </c>
      <c r="H175" s="2061" t="s">
        <v>1707</v>
      </c>
      <c r="I175" s="2062">
        <v>3</v>
      </c>
      <c r="J175" s="2061"/>
      <c r="K175" s="2061"/>
      <c r="L175" s="2063"/>
      <c r="M175" s="2061"/>
      <c r="N175" s="2064"/>
      <c r="O175" s="2064" t="s">
        <v>22</v>
      </c>
      <c r="P175" s="2065">
        <f>PRODUCT(G175:N175)</f>
        <v>300000</v>
      </c>
      <c r="Q175" s="694"/>
      <c r="R175" s="694"/>
      <c r="S175" s="695"/>
      <c r="T175" s="2089"/>
    </row>
    <row r="176" spans="1:20" s="930" customFormat="1" ht="15" customHeight="1">
      <c r="A176" s="617"/>
      <c r="B176" s="632"/>
      <c r="C176" s="719"/>
      <c r="D176" s="632"/>
      <c r="E176" s="725"/>
      <c r="F176" s="2060" t="s">
        <v>2476</v>
      </c>
      <c r="G176" s="1459">
        <v>7000</v>
      </c>
      <c r="H176" s="2061" t="s">
        <v>2423</v>
      </c>
      <c r="I176" s="2066">
        <v>10</v>
      </c>
      <c r="J176" s="2061" t="s">
        <v>2423</v>
      </c>
      <c r="K176" s="2062">
        <v>10</v>
      </c>
      <c r="L176" s="2063"/>
      <c r="M176" s="2061"/>
      <c r="N176" s="2064"/>
      <c r="O176" s="2064" t="s">
        <v>22</v>
      </c>
      <c r="P176" s="2065">
        <f>PRODUCT(G176:N176)</f>
        <v>700000</v>
      </c>
      <c r="Q176" s="694"/>
      <c r="R176" s="694"/>
      <c r="S176" s="695"/>
      <c r="T176" s="2089"/>
    </row>
    <row r="177" spans="1:20" s="930" customFormat="1" ht="15" customHeight="1">
      <c r="A177" s="617"/>
      <c r="B177" s="632"/>
      <c r="C177" s="719"/>
      <c r="D177" s="632"/>
      <c r="E177" s="725"/>
      <c r="F177" s="2060" t="s">
        <v>2477</v>
      </c>
      <c r="G177" s="1459">
        <v>3000</v>
      </c>
      <c r="H177" s="2061" t="s">
        <v>2423</v>
      </c>
      <c r="I177" s="2066">
        <v>10</v>
      </c>
      <c r="J177" s="2061" t="s">
        <v>2423</v>
      </c>
      <c r="K177" s="2062">
        <v>10</v>
      </c>
      <c r="L177" s="2063"/>
      <c r="M177" s="2061"/>
      <c r="N177" s="2064"/>
      <c r="O177" s="2064" t="s">
        <v>22</v>
      </c>
      <c r="P177" s="2065">
        <f>PRODUCT(G177:N177)</f>
        <v>300000</v>
      </c>
      <c r="Q177" s="694"/>
      <c r="R177" s="694"/>
      <c r="S177" s="695"/>
      <c r="T177" s="2089"/>
    </row>
    <row r="178" spans="1:20" s="930" customFormat="1" ht="15" customHeight="1">
      <c r="A178" s="617"/>
      <c r="B178" s="632"/>
      <c r="C178" s="719"/>
      <c r="D178" s="632"/>
      <c r="E178" s="725"/>
      <c r="F178" s="2060" t="s">
        <v>2478</v>
      </c>
      <c r="G178" s="1459">
        <v>850000</v>
      </c>
      <c r="H178" s="2061" t="s">
        <v>2423</v>
      </c>
      <c r="I178" s="2062">
        <v>2</v>
      </c>
      <c r="J178" s="2061"/>
      <c r="K178" s="2061"/>
      <c r="L178" s="2063"/>
      <c r="M178" s="2061"/>
      <c r="N178" s="2064"/>
      <c r="O178" s="2064" t="s">
        <v>22</v>
      </c>
      <c r="P178" s="2065">
        <f>PRODUCT(G178:N178)</f>
        <v>1700000</v>
      </c>
      <c r="Q178" s="694"/>
      <c r="R178" s="694"/>
      <c r="S178" s="695"/>
      <c r="T178" s="2089"/>
    </row>
    <row r="179" spans="1:20" s="930" customFormat="1" ht="15" customHeight="1">
      <c r="A179" s="617"/>
      <c r="B179" s="632"/>
      <c r="C179" s="719"/>
      <c r="D179" s="632"/>
      <c r="E179" s="725"/>
      <c r="F179" s="2002" t="s">
        <v>1704</v>
      </c>
      <c r="G179" s="1004"/>
      <c r="H179" s="992"/>
      <c r="I179" s="992"/>
      <c r="J179" s="992"/>
      <c r="K179" s="992"/>
      <c r="L179" s="2003"/>
      <c r="M179" s="992"/>
      <c r="N179" s="1022"/>
      <c r="O179" s="1022"/>
      <c r="P179" s="994">
        <f>SUM(P180:P187)</f>
        <v>3500000</v>
      </c>
      <c r="Q179" s="1018">
        <f>P179</f>
        <v>3500000</v>
      </c>
      <c r="R179" s="2004">
        <v>0</v>
      </c>
      <c r="S179" s="2005">
        <f t="shared" ref="S179" si="72">Q179-R179</f>
        <v>3500000</v>
      </c>
      <c r="T179" s="2006"/>
    </row>
    <row r="180" spans="1:20" s="930" customFormat="1" ht="15" customHeight="1">
      <c r="A180" s="617"/>
      <c r="B180" s="632"/>
      <c r="C180" s="719"/>
      <c r="D180" s="632"/>
      <c r="E180" s="725"/>
      <c r="F180" s="2060" t="s">
        <v>2479</v>
      </c>
      <c r="G180" s="2093">
        <v>150000</v>
      </c>
      <c r="H180" s="2061" t="s">
        <v>454</v>
      </c>
      <c r="I180" s="2062">
        <v>2</v>
      </c>
      <c r="J180" s="2061" t="s">
        <v>454</v>
      </c>
      <c r="K180" s="2066">
        <v>2</v>
      </c>
      <c r="L180" s="2063"/>
      <c r="M180" s="2061"/>
      <c r="N180" s="2064"/>
      <c r="O180" s="2064" t="s">
        <v>22</v>
      </c>
      <c r="P180" s="2065">
        <f t="shared" ref="P180:P187" si="73">PRODUCT(G180:N180)</f>
        <v>600000</v>
      </c>
      <c r="Q180" s="694"/>
      <c r="R180" s="694"/>
      <c r="S180" s="695"/>
      <c r="T180" s="2089"/>
    </row>
    <row r="181" spans="1:20" s="930" customFormat="1" ht="15" customHeight="1">
      <c r="A181" s="617"/>
      <c r="B181" s="632"/>
      <c r="C181" s="719"/>
      <c r="D181" s="632"/>
      <c r="E181" s="725"/>
      <c r="F181" s="2060" t="s">
        <v>2480</v>
      </c>
      <c r="G181" s="2093">
        <v>100000</v>
      </c>
      <c r="H181" s="2061" t="s">
        <v>454</v>
      </c>
      <c r="I181" s="2104">
        <v>3</v>
      </c>
      <c r="J181" s="2061"/>
      <c r="K181" s="2061"/>
      <c r="L181" s="2063"/>
      <c r="M181" s="2061"/>
      <c r="N181" s="2064"/>
      <c r="O181" s="2064" t="s">
        <v>22</v>
      </c>
      <c r="P181" s="2065">
        <f t="shared" si="73"/>
        <v>300000</v>
      </c>
      <c r="Q181" s="694"/>
      <c r="R181" s="694"/>
      <c r="S181" s="695"/>
      <c r="T181" s="2089"/>
    </row>
    <row r="182" spans="1:20" s="930" customFormat="1" ht="15" customHeight="1">
      <c r="A182" s="617"/>
      <c r="B182" s="632"/>
      <c r="C182" s="719"/>
      <c r="D182" s="632"/>
      <c r="E182" s="725"/>
      <c r="F182" s="2060" t="s">
        <v>2481</v>
      </c>
      <c r="G182" s="2093">
        <v>5000</v>
      </c>
      <c r="H182" s="2061" t="s">
        <v>454</v>
      </c>
      <c r="I182" s="2104">
        <v>60</v>
      </c>
      <c r="J182" s="2061"/>
      <c r="K182" s="2061"/>
      <c r="L182" s="2063"/>
      <c r="M182" s="2061"/>
      <c r="N182" s="2064"/>
      <c r="O182" s="2064" t="s">
        <v>22</v>
      </c>
      <c r="P182" s="2065">
        <f t="shared" si="73"/>
        <v>300000</v>
      </c>
      <c r="Q182" s="694"/>
      <c r="R182" s="694"/>
      <c r="S182" s="695"/>
      <c r="T182" s="2089"/>
    </row>
    <row r="183" spans="1:20" s="930" customFormat="1" ht="15" customHeight="1">
      <c r="A183" s="617"/>
      <c r="B183" s="632"/>
      <c r="C183" s="719"/>
      <c r="D183" s="632"/>
      <c r="E183" s="725"/>
      <c r="F183" s="2060" t="s">
        <v>2482</v>
      </c>
      <c r="G183" s="2093">
        <v>7000</v>
      </c>
      <c r="H183" s="2061" t="s">
        <v>454</v>
      </c>
      <c r="I183" s="2062">
        <v>5</v>
      </c>
      <c r="J183" s="2061" t="s">
        <v>454</v>
      </c>
      <c r="K183" s="2066">
        <v>20</v>
      </c>
      <c r="L183" s="2063"/>
      <c r="M183" s="2061"/>
      <c r="N183" s="2064"/>
      <c r="O183" s="2064" t="s">
        <v>22</v>
      </c>
      <c r="P183" s="2065">
        <f t="shared" si="73"/>
        <v>700000</v>
      </c>
      <c r="Q183" s="694"/>
      <c r="R183" s="694"/>
      <c r="S183" s="695"/>
      <c r="T183" s="2089"/>
    </row>
    <row r="184" spans="1:20" s="930" customFormat="1" ht="15" customHeight="1">
      <c r="A184" s="617"/>
      <c r="B184" s="632"/>
      <c r="C184" s="719"/>
      <c r="D184" s="632"/>
      <c r="E184" s="725"/>
      <c r="F184" s="2060" t="s">
        <v>2483</v>
      </c>
      <c r="G184" s="2093">
        <v>100000</v>
      </c>
      <c r="H184" s="2061" t="s">
        <v>454</v>
      </c>
      <c r="I184" s="2062">
        <v>4</v>
      </c>
      <c r="J184" s="2061"/>
      <c r="K184" s="2061"/>
      <c r="L184" s="2063"/>
      <c r="M184" s="2061"/>
      <c r="N184" s="2064"/>
      <c r="O184" s="2064" t="s">
        <v>22</v>
      </c>
      <c r="P184" s="2065">
        <f t="shared" si="73"/>
        <v>400000</v>
      </c>
      <c r="Q184" s="694"/>
      <c r="R184" s="694"/>
      <c r="S184" s="695"/>
      <c r="T184" s="2089"/>
    </row>
    <row r="185" spans="1:20" s="930" customFormat="1" ht="15" customHeight="1">
      <c r="A185" s="617"/>
      <c r="B185" s="632"/>
      <c r="C185" s="719"/>
      <c r="D185" s="632"/>
      <c r="E185" s="725"/>
      <c r="F185" s="2060" t="s">
        <v>2484</v>
      </c>
      <c r="G185" s="2093">
        <v>100000</v>
      </c>
      <c r="H185" s="2061" t="s">
        <v>454</v>
      </c>
      <c r="I185" s="2062">
        <v>4</v>
      </c>
      <c r="J185" s="2061"/>
      <c r="K185" s="2061"/>
      <c r="L185" s="2063"/>
      <c r="M185" s="2061"/>
      <c r="N185" s="2064"/>
      <c r="O185" s="2064" t="s">
        <v>22</v>
      </c>
      <c r="P185" s="2065">
        <f t="shared" si="73"/>
        <v>400000</v>
      </c>
      <c r="Q185" s="694"/>
      <c r="R185" s="694"/>
      <c r="S185" s="695"/>
      <c r="T185" s="2089"/>
    </row>
    <row r="186" spans="1:20" s="930" customFormat="1" ht="15" customHeight="1">
      <c r="A186" s="617"/>
      <c r="B186" s="632"/>
      <c r="C186" s="719"/>
      <c r="D186" s="632"/>
      <c r="E186" s="725"/>
      <c r="F186" s="2060" t="s">
        <v>2485</v>
      </c>
      <c r="G186" s="2093">
        <v>20000</v>
      </c>
      <c r="H186" s="2061" t="s">
        <v>454</v>
      </c>
      <c r="I186" s="2066">
        <v>25</v>
      </c>
      <c r="J186" s="2061"/>
      <c r="K186" s="2061"/>
      <c r="L186" s="2063"/>
      <c r="M186" s="2061"/>
      <c r="N186" s="2064"/>
      <c r="O186" s="2064" t="s">
        <v>22</v>
      </c>
      <c r="P186" s="2065">
        <f t="shared" si="73"/>
        <v>500000</v>
      </c>
      <c r="Q186" s="694"/>
      <c r="R186" s="694"/>
      <c r="S186" s="695"/>
      <c r="T186" s="2089"/>
    </row>
    <row r="187" spans="1:20" s="930" customFormat="1" ht="15" customHeight="1">
      <c r="A187" s="617"/>
      <c r="B187" s="632"/>
      <c r="C187" s="719"/>
      <c r="D187" s="632"/>
      <c r="E187" s="725"/>
      <c r="F187" s="2060" t="s">
        <v>2486</v>
      </c>
      <c r="G187" s="2093">
        <v>3000</v>
      </c>
      <c r="H187" s="2061" t="s">
        <v>454</v>
      </c>
      <c r="I187" s="2062">
        <v>5</v>
      </c>
      <c r="J187" s="2061" t="s">
        <v>454</v>
      </c>
      <c r="K187" s="2066">
        <v>20</v>
      </c>
      <c r="L187" s="2063"/>
      <c r="M187" s="2061"/>
      <c r="N187" s="2064"/>
      <c r="O187" s="2064" t="s">
        <v>22</v>
      </c>
      <c r="P187" s="2065">
        <f t="shared" si="73"/>
        <v>300000</v>
      </c>
      <c r="Q187" s="694"/>
      <c r="R187" s="694"/>
      <c r="S187" s="695"/>
      <c r="T187" s="2089"/>
    </row>
    <row r="188" spans="1:20" s="930" customFormat="1" ht="15" customHeight="1">
      <c r="A188" s="617"/>
      <c r="B188" s="632"/>
      <c r="C188" s="719"/>
      <c r="D188" s="632"/>
      <c r="E188" s="725"/>
      <c r="F188" s="2002" t="s">
        <v>1715</v>
      </c>
      <c r="G188" s="1004"/>
      <c r="H188" s="992"/>
      <c r="I188" s="992"/>
      <c r="J188" s="992"/>
      <c r="K188" s="992"/>
      <c r="L188" s="2003"/>
      <c r="M188" s="992"/>
      <c r="N188" s="1022"/>
      <c r="O188" s="1022"/>
      <c r="P188" s="994">
        <f>SUM(P189:P194)</f>
        <v>4200000</v>
      </c>
      <c r="Q188" s="1018">
        <f>P188</f>
        <v>4200000</v>
      </c>
      <c r="R188" s="2004">
        <v>0</v>
      </c>
      <c r="S188" s="2005">
        <f t="shared" ref="S188" si="74">Q188-R188</f>
        <v>4200000</v>
      </c>
      <c r="T188" s="2006"/>
    </row>
    <row r="189" spans="1:20" s="930" customFormat="1" ht="15" customHeight="1">
      <c r="A189" s="617"/>
      <c r="B189" s="632"/>
      <c r="C189" s="719"/>
      <c r="D189" s="632"/>
      <c r="E189" s="725"/>
      <c r="F189" s="2060" t="s">
        <v>2487</v>
      </c>
      <c r="G189" s="2093">
        <v>200000</v>
      </c>
      <c r="H189" s="2061" t="s">
        <v>454</v>
      </c>
      <c r="I189" s="2062">
        <v>8</v>
      </c>
      <c r="J189" s="2061"/>
      <c r="K189" s="2061"/>
      <c r="L189" s="2063"/>
      <c r="M189" s="2061"/>
      <c r="N189" s="2064"/>
      <c r="O189" s="2064" t="s">
        <v>22</v>
      </c>
      <c r="P189" s="2065">
        <f t="shared" ref="P189:P194" si="75">PRODUCT(G189:N189)</f>
        <v>1600000</v>
      </c>
      <c r="Q189" s="694"/>
      <c r="R189" s="694"/>
      <c r="S189" s="695"/>
      <c r="T189" s="2089"/>
    </row>
    <row r="190" spans="1:20" s="930" customFormat="1" ht="15" customHeight="1">
      <c r="A190" s="617"/>
      <c r="B190" s="632"/>
      <c r="C190" s="719"/>
      <c r="D190" s="632"/>
      <c r="E190" s="725"/>
      <c r="F190" s="2060" t="s">
        <v>2488</v>
      </c>
      <c r="G190" s="2093">
        <v>80000</v>
      </c>
      <c r="H190" s="2061" t="s">
        <v>454</v>
      </c>
      <c r="I190" s="2062">
        <v>10</v>
      </c>
      <c r="J190" s="2061" t="s">
        <v>454</v>
      </c>
      <c r="K190" s="2066">
        <v>2</v>
      </c>
      <c r="L190" s="2063"/>
      <c r="M190" s="2061"/>
      <c r="N190" s="2064"/>
      <c r="O190" s="2064" t="s">
        <v>22</v>
      </c>
      <c r="P190" s="2065">
        <f t="shared" si="75"/>
        <v>1600000</v>
      </c>
      <c r="Q190" s="694"/>
      <c r="R190" s="694"/>
      <c r="S190" s="695"/>
      <c r="T190" s="2089"/>
    </row>
    <row r="191" spans="1:20" s="930" customFormat="1" ht="15" customHeight="1">
      <c r="A191" s="617"/>
      <c r="B191" s="632"/>
      <c r="C191" s="719"/>
      <c r="D191" s="632"/>
      <c r="E191" s="725"/>
      <c r="F191" s="2060" t="s">
        <v>2489</v>
      </c>
      <c r="G191" s="2094">
        <v>100000</v>
      </c>
      <c r="H191" s="2061" t="s">
        <v>454</v>
      </c>
      <c r="I191" s="2062">
        <v>2</v>
      </c>
      <c r="J191" s="2061"/>
      <c r="K191" s="2062"/>
      <c r="L191" s="2091"/>
      <c r="M191" s="2092"/>
      <c r="N191" s="2064"/>
      <c r="O191" s="2064" t="s">
        <v>22</v>
      </c>
      <c r="P191" s="2065">
        <f t="shared" si="75"/>
        <v>200000</v>
      </c>
      <c r="Q191" s="694"/>
      <c r="R191" s="694"/>
      <c r="S191" s="695"/>
      <c r="T191" s="2089"/>
    </row>
    <row r="192" spans="1:20" s="930" customFormat="1" ht="15" customHeight="1">
      <c r="A192" s="617"/>
      <c r="B192" s="632"/>
      <c r="C192" s="719"/>
      <c r="D192" s="632"/>
      <c r="E192" s="725"/>
      <c r="F192" s="2060" t="s">
        <v>2490</v>
      </c>
      <c r="G192" s="2094">
        <v>100000</v>
      </c>
      <c r="H192" s="2061" t="s">
        <v>454</v>
      </c>
      <c r="I192" s="2062">
        <v>4</v>
      </c>
      <c r="J192" s="2061"/>
      <c r="K192" s="2062"/>
      <c r="L192" s="2091"/>
      <c r="M192" s="2092"/>
      <c r="N192" s="2064"/>
      <c r="O192" s="2064" t="s">
        <v>22</v>
      </c>
      <c r="P192" s="2065">
        <f t="shared" si="75"/>
        <v>400000</v>
      </c>
      <c r="Q192" s="694"/>
      <c r="R192" s="694"/>
      <c r="S192" s="695"/>
      <c r="T192" s="2089"/>
    </row>
    <row r="193" spans="1:20" s="930" customFormat="1" ht="15" customHeight="1">
      <c r="A193" s="617"/>
      <c r="B193" s="632"/>
      <c r="C193" s="719"/>
      <c r="D193" s="632"/>
      <c r="E193" s="725"/>
      <c r="F193" s="2060" t="s">
        <v>2491</v>
      </c>
      <c r="G193" s="2094">
        <v>10000</v>
      </c>
      <c r="H193" s="2061" t="s">
        <v>454</v>
      </c>
      <c r="I193" s="2066">
        <v>10</v>
      </c>
      <c r="J193" s="2061"/>
      <c r="K193" s="2062"/>
      <c r="L193" s="2091"/>
      <c r="M193" s="2092"/>
      <c r="N193" s="2064"/>
      <c r="O193" s="2064" t="s">
        <v>22</v>
      </c>
      <c r="P193" s="2065">
        <f t="shared" si="75"/>
        <v>100000</v>
      </c>
      <c r="Q193" s="694"/>
      <c r="R193" s="694"/>
      <c r="S193" s="695"/>
      <c r="T193" s="2089"/>
    </row>
    <row r="194" spans="1:20" s="930" customFormat="1" ht="15" customHeight="1">
      <c r="A194" s="617"/>
      <c r="B194" s="632"/>
      <c r="C194" s="719"/>
      <c r="D194" s="632"/>
      <c r="E194" s="725"/>
      <c r="F194" s="2060" t="s">
        <v>2492</v>
      </c>
      <c r="G194" s="2094">
        <v>3000</v>
      </c>
      <c r="H194" s="2061" t="s">
        <v>454</v>
      </c>
      <c r="I194" s="2066">
        <v>100</v>
      </c>
      <c r="J194" s="2061"/>
      <c r="K194" s="2062"/>
      <c r="L194" s="2091"/>
      <c r="M194" s="2092"/>
      <c r="N194" s="2064"/>
      <c r="O194" s="2064" t="s">
        <v>22</v>
      </c>
      <c r="P194" s="2065">
        <f t="shared" si="75"/>
        <v>300000</v>
      </c>
      <c r="Q194" s="694"/>
      <c r="R194" s="694"/>
      <c r="S194" s="695"/>
      <c r="T194" s="2089"/>
    </row>
    <row r="195" spans="1:20" s="930" customFormat="1" ht="15" customHeight="1">
      <c r="A195" s="617"/>
      <c r="B195" s="632"/>
      <c r="C195" s="719"/>
      <c r="D195" s="632"/>
      <c r="E195" s="725"/>
      <c r="F195" s="2002" t="s">
        <v>1716</v>
      </c>
      <c r="G195" s="1004"/>
      <c r="H195" s="992"/>
      <c r="I195" s="992"/>
      <c r="J195" s="992"/>
      <c r="K195" s="992"/>
      <c r="L195" s="2003"/>
      <c r="M195" s="992"/>
      <c r="N195" s="1022"/>
      <c r="O195" s="1022"/>
      <c r="P195" s="994">
        <f>SUM(P196:P204)</f>
        <v>8000000</v>
      </c>
      <c r="Q195" s="1018">
        <f>P195</f>
        <v>8000000</v>
      </c>
      <c r="R195" s="2004">
        <v>14000000</v>
      </c>
      <c r="S195" s="2005">
        <f t="shared" ref="S195" si="76">Q195-R195</f>
        <v>-6000000</v>
      </c>
      <c r="T195" s="2006">
        <f t="shared" ref="T195" si="77">S195/R195</f>
        <v>-0.42857142857142855</v>
      </c>
    </row>
    <row r="196" spans="1:20" s="930" customFormat="1" ht="15" customHeight="1">
      <c r="A196" s="617"/>
      <c r="B196" s="632"/>
      <c r="C196" s="719"/>
      <c r="D196" s="632"/>
      <c r="E196" s="725"/>
      <c r="F196" s="2060" t="s">
        <v>2493</v>
      </c>
      <c r="G196" s="2093">
        <v>50000</v>
      </c>
      <c r="H196" s="2061" t="s">
        <v>454</v>
      </c>
      <c r="I196" s="2062">
        <v>3</v>
      </c>
      <c r="J196" s="2061"/>
      <c r="K196" s="2061"/>
      <c r="L196" s="2063"/>
      <c r="M196" s="2061"/>
      <c r="N196" s="2064"/>
      <c r="O196" s="2064" t="s">
        <v>22</v>
      </c>
      <c r="P196" s="2065">
        <f t="shared" ref="P196:P204" si="78">PRODUCT(G196:N196)</f>
        <v>150000</v>
      </c>
      <c r="Q196" s="694"/>
      <c r="R196" s="694"/>
      <c r="S196" s="695"/>
      <c r="T196" s="2089"/>
    </row>
    <row r="197" spans="1:20" s="930" customFormat="1" ht="15" customHeight="1">
      <c r="A197" s="617"/>
      <c r="B197" s="632"/>
      <c r="C197" s="719"/>
      <c r="D197" s="632"/>
      <c r="E197" s="725"/>
      <c r="F197" s="2060" t="s">
        <v>2494</v>
      </c>
      <c r="G197" s="2093">
        <v>7000</v>
      </c>
      <c r="H197" s="2061" t="s">
        <v>454</v>
      </c>
      <c r="I197" s="2066">
        <v>15</v>
      </c>
      <c r="J197" s="2061" t="s">
        <v>454</v>
      </c>
      <c r="K197" s="2062">
        <v>10</v>
      </c>
      <c r="L197" s="2063"/>
      <c r="M197" s="2061"/>
      <c r="N197" s="2064"/>
      <c r="O197" s="2064" t="s">
        <v>22</v>
      </c>
      <c r="P197" s="2065">
        <f t="shared" si="78"/>
        <v>1050000</v>
      </c>
      <c r="Q197" s="694"/>
      <c r="R197" s="694"/>
      <c r="S197" s="695"/>
      <c r="T197" s="2089"/>
    </row>
    <row r="198" spans="1:20" s="930" customFormat="1" ht="15" customHeight="1">
      <c r="A198" s="617"/>
      <c r="B198" s="632"/>
      <c r="C198" s="719"/>
      <c r="D198" s="632"/>
      <c r="E198" s="725"/>
      <c r="F198" s="2060" t="s">
        <v>2495</v>
      </c>
      <c r="G198" s="2093">
        <v>3000</v>
      </c>
      <c r="H198" s="2061" t="s">
        <v>454</v>
      </c>
      <c r="I198" s="2066">
        <v>15</v>
      </c>
      <c r="J198" s="2061" t="s">
        <v>454</v>
      </c>
      <c r="K198" s="2062">
        <v>4</v>
      </c>
      <c r="L198" s="2063"/>
      <c r="M198" s="2061"/>
      <c r="N198" s="2064"/>
      <c r="O198" s="2064" t="s">
        <v>22</v>
      </c>
      <c r="P198" s="2065">
        <f t="shared" si="78"/>
        <v>180000</v>
      </c>
      <c r="Q198" s="694"/>
      <c r="R198" s="694"/>
      <c r="S198" s="695"/>
      <c r="T198" s="2089"/>
    </row>
    <row r="199" spans="1:20" s="930" customFormat="1" ht="15" customHeight="1">
      <c r="A199" s="617"/>
      <c r="B199" s="632"/>
      <c r="C199" s="719"/>
      <c r="D199" s="632"/>
      <c r="E199" s="725"/>
      <c r="F199" s="2060" t="s">
        <v>2496</v>
      </c>
      <c r="G199" s="2093">
        <v>120000</v>
      </c>
      <c r="H199" s="2061" t="s">
        <v>454</v>
      </c>
      <c r="I199" s="2066">
        <v>2</v>
      </c>
      <c r="J199" s="2061" t="s">
        <v>454</v>
      </c>
      <c r="K199" s="2062">
        <v>1</v>
      </c>
      <c r="L199" s="2091"/>
      <c r="M199" s="2092"/>
      <c r="N199" s="2064"/>
      <c r="O199" s="2064" t="s">
        <v>22</v>
      </c>
      <c r="P199" s="2065">
        <f t="shared" si="78"/>
        <v>240000</v>
      </c>
      <c r="Q199" s="694"/>
      <c r="R199" s="694"/>
      <c r="S199" s="695"/>
      <c r="T199" s="2089"/>
    </row>
    <row r="200" spans="1:20" s="930" customFormat="1" ht="15" customHeight="1">
      <c r="A200" s="617"/>
      <c r="B200" s="632"/>
      <c r="C200" s="719"/>
      <c r="D200" s="632"/>
      <c r="E200" s="725"/>
      <c r="F200" s="2060" t="s">
        <v>2497</v>
      </c>
      <c r="G200" s="2093">
        <v>50000</v>
      </c>
      <c r="H200" s="2061" t="s">
        <v>454</v>
      </c>
      <c r="I200" s="2066">
        <v>3</v>
      </c>
      <c r="J200" s="2061" t="s">
        <v>454</v>
      </c>
      <c r="K200" s="2062">
        <v>3</v>
      </c>
      <c r="L200" s="2091"/>
      <c r="M200" s="2092"/>
      <c r="N200" s="2064"/>
      <c r="O200" s="2064" t="s">
        <v>22</v>
      </c>
      <c r="P200" s="2065">
        <f t="shared" si="78"/>
        <v>450000</v>
      </c>
      <c r="Q200" s="694"/>
      <c r="R200" s="694"/>
      <c r="S200" s="695"/>
      <c r="T200" s="2089"/>
    </row>
    <row r="201" spans="1:20" s="930" customFormat="1" ht="15" customHeight="1">
      <c r="A201" s="617"/>
      <c r="B201" s="632"/>
      <c r="C201" s="719"/>
      <c r="D201" s="632"/>
      <c r="E201" s="725"/>
      <c r="F201" s="2060" t="s">
        <v>2498</v>
      </c>
      <c r="G201" s="2093">
        <v>20000</v>
      </c>
      <c r="H201" s="2061" t="s">
        <v>454</v>
      </c>
      <c r="I201" s="2066">
        <v>17</v>
      </c>
      <c r="J201" s="2061" t="s">
        <v>454</v>
      </c>
      <c r="K201" s="2062">
        <v>12</v>
      </c>
      <c r="L201" s="2063"/>
      <c r="M201" s="2061"/>
      <c r="N201" s="2064"/>
      <c r="O201" s="2064" t="s">
        <v>22</v>
      </c>
      <c r="P201" s="2065">
        <f t="shared" si="78"/>
        <v>4080000</v>
      </c>
      <c r="Q201" s="694"/>
      <c r="R201" s="694"/>
      <c r="S201" s="695"/>
      <c r="T201" s="2089"/>
    </row>
    <row r="202" spans="1:20" s="930" customFormat="1" ht="15" customHeight="1">
      <c r="A202" s="617"/>
      <c r="B202" s="632"/>
      <c r="C202" s="719"/>
      <c r="D202" s="632"/>
      <c r="E202" s="725"/>
      <c r="F202" s="2060" t="s">
        <v>2499</v>
      </c>
      <c r="G202" s="2093">
        <v>150000</v>
      </c>
      <c r="H202" s="2061" t="s">
        <v>454</v>
      </c>
      <c r="I202" s="2062">
        <v>1</v>
      </c>
      <c r="J202" s="2061"/>
      <c r="K202" s="2061"/>
      <c r="L202" s="2063"/>
      <c r="M202" s="2061"/>
      <c r="N202" s="2064"/>
      <c r="O202" s="2064" t="s">
        <v>22</v>
      </c>
      <c r="P202" s="2065">
        <f t="shared" si="78"/>
        <v>150000</v>
      </c>
      <c r="Q202" s="694"/>
      <c r="R202" s="694"/>
      <c r="S202" s="695"/>
      <c r="T202" s="2089"/>
    </row>
    <row r="203" spans="1:20" s="930" customFormat="1" ht="15" customHeight="1">
      <c r="A203" s="617"/>
      <c r="B203" s="632"/>
      <c r="C203" s="719"/>
      <c r="D203" s="632"/>
      <c r="E203" s="725"/>
      <c r="F203" s="2060" t="s">
        <v>2500</v>
      </c>
      <c r="G203" s="2093">
        <v>700000</v>
      </c>
      <c r="H203" s="2061" t="s">
        <v>454</v>
      </c>
      <c r="I203" s="2062">
        <v>2</v>
      </c>
      <c r="J203" s="2061"/>
      <c r="K203" s="2061"/>
      <c r="L203" s="2063"/>
      <c r="M203" s="2061"/>
      <c r="N203" s="2064"/>
      <c r="O203" s="2064" t="s">
        <v>22</v>
      </c>
      <c r="P203" s="2065">
        <f t="shared" si="78"/>
        <v>1400000</v>
      </c>
      <c r="Q203" s="694"/>
      <c r="R203" s="694"/>
      <c r="S203" s="695"/>
      <c r="T203" s="2089"/>
    </row>
    <row r="204" spans="1:20" s="930" customFormat="1" ht="15" customHeight="1">
      <c r="A204" s="617"/>
      <c r="B204" s="632"/>
      <c r="C204" s="719"/>
      <c r="D204" s="632"/>
      <c r="E204" s="725"/>
      <c r="F204" s="2060" t="s">
        <v>2501</v>
      </c>
      <c r="G204" s="2093">
        <v>10000</v>
      </c>
      <c r="H204" s="2061" t="s">
        <v>454</v>
      </c>
      <c r="I204" s="2066">
        <v>15</v>
      </c>
      <c r="J204" s="2061" t="s">
        <v>454</v>
      </c>
      <c r="K204" s="2062">
        <v>2</v>
      </c>
      <c r="L204" s="2091"/>
      <c r="M204" s="2092"/>
      <c r="N204" s="2064"/>
      <c r="O204" s="2064" t="s">
        <v>22</v>
      </c>
      <c r="P204" s="2065">
        <f t="shared" si="78"/>
        <v>300000</v>
      </c>
      <c r="Q204" s="694"/>
      <c r="R204" s="694"/>
      <c r="S204" s="695"/>
      <c r="T204" s="2089"/>
    </row>
    <row r="205" spans="1:20" s="930" customFormat="1" ht="15" customHeight="1">
      <c r="A205" s="617"/>
      <c r="B205" s="632"/>
      <c r="C205" s="719"/>
      <c r="D205" s="632"/>
      <c r="E205" s="725"/>
      <c r="F205" s="2002" t="s">
        <v>1706</v>
      </c>
      <c r="G205" s="1004"/>
      <c r="H205" s="992"/>
      <c r="I205" s="992"/>
      <c r="J205" s="992"/>
      <c r="K205" s="992"/>
      <c r="L205" s="2003"/>
      <c r="M205" s="992"/>
      <c r="N205" s="1022"/>
      <c r="O205" s="1022"/>
      <c r="P205" s="994">
        <f>SUM(P206:P210)</f>
        <v>2064000</v>
      </c>
      <c r="Q205" s="1018">
        <f>P205</f>
        <v>2064000</v>
      </c>
      <c r="R205" s="2004">
        <v>0</v>
      </c>
      <c r="S205" s="2005">
        <f t="shared" ref="S205" si="79">Q205-R205</f>
        <v>2064000</v>
      </c>
      <c r="T205" s="2006"/>
    </row>
    <row r="206" spans="1:20" s="930" customFormat="1" ht="15" customHeight="1">
      <c r="A206" s="759"/>
      <c r="B206" s="703"/>
      <c r="C206" s="619"/>
      <c r="D206" s="703"/>
      <c r="E206" s="726"/>
      <c r="F206" s="2098" t="s">
        <v>2502</v>
      </c>
      <c r="G206" s="2187">
        <v>500000</v>
      </c>
      <c r="H206" s="2099" t="s">
        <v>454</v>
      </c>
      <c r="I206" s="2100">
        <v>2</v>
      </c>
      <c r="J206" s="2099"/>
      <c r="K206" s="2099"/>
      <c r="L206" s="2101"/>
      <c r="M206" s="2099"/>
      <c r="N206" s="2102"/>
      <c r="O206" s="2102" t="s">
        <v>22</v>
      </c>
      <c r="P206" s="2081">
        <f>PRODUCT(G206:N206)</f>
        <v>1000000</v>
      </c>
      <c r="Q206" s="712"/>
      <c r="R206" s="712"/>
      <c r="S206" s="713"/>
      <c r="T206" s="2103"/>
    </row>
    <row r="207" spans="1:20" s="930" customFormat="1" ht="15" customHeight="1">
      <c r="A207" s="617"/>
      <c r="B207" s="632"/>
      <c r="C207" s="719"/>
      <c r="D207" s="632"/>
      <c r="E207" s="725"/>
      <c r="F207" s="2060" t="s">
        <v>2503</v>
      </c>
      <c r="G207" s="2093">
        <v>524000</v>
      </c>
      <c r="H207" s="2061" t="s">
        <v>454</v>
      </c>
      <c r="I207" s="2062">
        <v>1</v>
      </c>
      <c r="J207" s="2061"/>
      <c r="K207" s="2061"/>
      <c r="L207" s="2063"/>
      <c r="M207" s="2061"/>
      <c r="N207" s="2064"/>
      <c r="O207" s="2064" t="s">
        <v>22</v>
      </c>
      <c r="P207" s="2065">
        <f>PRODUCT(G207:N207)</f>
        <v>524000</v>
      </c>
      <c r="Q207" s="694"/>
      <c r="R207" s="694"/>
      <c r="S207" s="695"/>
      <c r="T207" s="2089"/>
    </row>
    <row r="208" spans="1:20" s="930" customFormat="1" ht="15" customHeight="1">
      <c r="A208" s="617"/>
      <c r="B208" s="632"/>
      <c r="C208" s="719"/>
      <c r="D208" s="632"/>
      <c r="E208" s="725"/>
      <c r="F208" s="2060" t="s">
        <v>2504</v>
      </c>
      <c r="G208" s="2093">
        <v>7000</v>
      </c>
      <c r="H208" s="2061" t="s">
        <v>454</v>
      </c>
      <c r="I208" s="2062">
        <v>24</v>
      </c>
      <c r="J208" s="2061"/>
      <c r="K208" s="2062"/>
      <c r="L208" s="2063"/>
      <c r="M208" s="2061"/>
      <c r="N208" s="2064"/>
      <c r="O208" s="2064" t="s">
        <v>22</v>
      </c>
      <c r="P208" s="2065">
        <f>PRODUCT(G208:N208)</f>
        <v>168000</v>
      </c>
      <c r="Q208" s="694"/>
      <c r="R208" s="694"/>
      <c r="S208" s="695"/>
      <c r="T208" s="2089"/>
    </row>
    <row r="209" spans="1:20" s="930" customFormat="1" ht="15" customHeight="1">
      <c r="A209" s="617"/>
      <c r="B209" s="632"/>
      <c r="C209" s="719"/>
      <c r="D209" s="632"/>
      <c r="E209" s="725"/>
      <c r="F209" s="2060" t="s">
        <v>2505</v>
      </c>
      <c r="G209" s="2093">
        <v>3000</v>
      </c>
      <c r="H209" s="2061" t="s">
        <v>454</v>
      </c>
      <c r="I209" s="2062">
        <v>24</v>
      </c>
      <c r="J209" s="2061"/>
      <c r="K209" s="2062"/>
      <c r="L209" s="2063"/>
      <c r="M209" s="2061"/>
      <c r="N209" s="2064"/>
      <c r="O209" s="2064" t="s">
        <v>22</v>
      </c>
      <c r="P209" s="2065">
        <f>PRODUCT(G209:N209)</f>
        <v>72000</v>
      </c>
      <c r="Q209" s="694"/>
      <c r="R209" s="694"/>
      <c r="S209" s="695"/>
      <c r="T209" s="2089"/>
    </row>
    <row r="210" spans="1:20" s="930" customFormat="1" ht="15" customHeight="1">
      <c r="A210" s="617"/>
      <c r="B210" s="632"/>
      <c r="C210" s="719"/>
      <c r="D210" s="632"/>
      <c r="E210" s="725"/>
      <c r="F210" s="2060" t="s">
        <v>2506</v>
      </c>
      <c r="G210" s="2094">
        <v>150000</v>
      </c>
      <c r="H210" s="2061" t="s">
        <v>454</v>
      </c>
      <c r="I210" s="2062">
        <v>2</v>
      </c>
      <c r="J210" s="2061"/>
      <c r="K210" s="2062"/>
      <c r="L210" s="2091"/>
      <c r="M210" s="2092"/>
      <c r="N210" s="2064"/>
      <c r="O210" s="2064" t="s">
        <v>22</v>
      </c>
      <c r="P210" s="2065">
        <f>PRODUCT(G210:N210)</f>
        <v>300000</v>
      </c>
      <c r="Q210" s="694"/>
      <c r="R210" s="694"/>
      <c r="S210" s="695"/>
      <c r="T210" s="2089"/>
    </row>
    <row r="211" spans="1:20" s="930" customFormat="1" ht="15" customHeight="1">
      <c r="A211" s="617"/>
      <c r="B211" s="632"/>
      <c r="C211" s="719"/>
      <c r="D211" s="632"/>
      <c r="E211" s="725"/>
      <c r="F211" s="2002" t="s">
        <v>2896</v>
      </c>
      <c r="G211" s="1004"/>
      <c r="H211" s="992"/>
      <c r="I211" s="992"/>
      <c r="J211" s="992"/>
      <c r="K211" s="992"/>
      <c r="L211" s="2003"/>
      <c r="M211" s="992"/>
      <c r="N211" s="1022"/>
      <c r="O211" s="1022"/>
      <c r="P211" s="994"/>
      <c r="Q211" s="1018">
        <f>P211</f>
        <v>0</v>
      </c>
      <c r="R211" s="2004">
        <v>5000000</v>
      </c>
      <c r="S211" s="2005">
        <f t="shared" ref="S211:S214" si="80">Q211-R211</f>
        <v>-5000000</v>
      </c>
      <c r="T211" s="2006">
        <f t="shared" ref="T211:T214" si="81">S211/R211</f>
        <v>-1</v>
      </c>
    </row>
    <row r="212" spans="1:20" s="930" customFormat="1" ht="15" customHeight="1">
      <c r="A212" s="617"/>
      <c r="B212" s="632"/>
      <c r="C212" s="719"/>
      <c r="D212" s="632"/>
      <c r="E212" s="725"/>
      <c r="F212" s="2002" t="s">
        <v>2897</v>
      </c>
      <c r="G212" s="1004"/>
      <c r="H212" s="992"/>
      <c r="I212" s="992"/>
      <c r="J212" s="992"/>
      <c r="K212" s="992"/>
      <c r="L212" s="2003"/>
      <c r="M212" s="992"/>
      <c r="N212" s="1022"/>
      <c r="O212" s="1022"/>
      <c r="P212" s="994"/>
      <c r="Q212" s="1018">
        <f>P212</f>
        <v>0</v>
      </c>
      <c r="R212" s="2004">
        <v>600000</v>
      </c>
      <c r="S212" s="2005">
        <f t="shared" si="80"/>
        <v>-600000</v>
      </c>
      <c r="T212" s="2006">
        <f t="shared" si="81"/>
        <v>-1</v>
      </c>
    </row>
    <row r="213" spans="1:20" s="930" customFormat="1" ht="15" customHeight="1">
      <c r="A213" s="617"/>
      <c r="B213" s="632"/>
      <c r="C213" s="719"/>
      <c r="D213" s="632"/>
      <c r="E213" s="725"/>
      <c r="F213" s="2002" t="s">
        <v>2898</v>
      </c>
      <c r="G213" s="1004"/>
      <c r="H213" s="992"/>
      <c r="I213" s="992"/>
      <c r="J213" s="992"/>
      <c r="K213" s="992"/>
      <c r="L213" s="2003"/>
      <c r="M213" s="992"/>
      <c r="N213" s="1022"/>
      <c r="O213" s="1022"/>
      <c r="P213" s="994"/>
      <c r="Q213" s="1018">
        <f>P213</f>
        <v>0</v>
      </c>
      <c r="R213" s="2004">
        <v>8000000</v>
      </c>
      <c r="S213" s="2005">
        <f t="shared" si="80"/>
        <v>-8000000</v>
      </c>
      <c r="T213" s="2006">
        <f t="shared" si="81"/>
        <v>-1</v>
      </c>
    </row>
    <row r="214" spans="1:20" s="930" customFormat="1" ht="15" customHeight="1">
      <c r="A214" s="617"/>
      <c r="B214" s="632"/>
      <c r="C214" s="719"/>
      <c r="D214" s="632"/>
      <c r="E214" s="725"/>
      <c r="F214" s="2002" t="s">
        <v>2899</v>
      </c>
      <c r="G214" s="1004"/>
      <c r="H214" s="992"/>
      <c r="I214" s="992"/>
      <c r="J214" s="992"/>
      <c r="K214" s="992"/>
      <c r="L214" s="2003"/>
      <c r="M214" s="992"/>
      <c r="N214" s="1022"/>
      <c r="O214" s="1022"/>
      <c r="P214" s="994"/>
      <c r="Q214" s="1018">
        <f>P214</f>
        <v>0</v>
      </c>
      <c r="R214" s="2004">
        <v>7000000</v>
      </c>
      <c r="S214" s="2005">
        <f t="shared" si="80"/>
        <v>-7000000</v>
      </c>
      <c r="T214" s="2006">
        <f t="shared" si="81"/>
        <v>-1</v>
      </c>
    </row>
    <row r="215" spans="1:20" s="930" customFormat="1" ht="15" customHeight="1">
      <c r="A215" s="617"/>
      <c r="B215" s="632"/>
      <c r="C215" s="719"/>
      <c r="D215" s="632"/>
      <c r="E215" s="3637" t="s">
        <v>3008</v>
      </c>
      <c r="F215" s="3638"/>
      <c r="G215" s="3638"/>
      <c r="H215" s="3638"/>
      <c r="I215" s="3638"/>
      <c r="J215" s="3638"/>
      <c r="K215" s="3638"/>
      <c r="L215" s="3638"/>
      <c r="M215" s="3638"/>
      <c r="N215" s="3638"/>
      <c r="O215" s="3638"/>
      <c r="P215" s="3639"/>
      <c r="Q215" s="645">
        <f>SUM(P216,P223,P230)</f>
        <v>6468000</v>
      </c>
      <c r="R215" s="645">
        <f>SUM(R216:R235)</f>
        <v>3130000</v>
      </c>
      <c r="S215" s="646">
        <f>Q215-R215</f>
        <v>3338000</v>
      </c>
      <c r="T215" s="647">
        <f t="shared" ref="T215" si="82">S215/R215</f>
        <v>1.0664536741214057</v>
      </c>
    </row>
    <row r="216" spans="1:20" s="930" customFormat="1" ht="15" customHeight="1">
      <c r="A216" s="617"/>
      <c r="B216" s="632"/>
      <c r="C216" s="719"/>
      <c r="D216" s="632"/>
      <c r="E216" s="725"/>
      <c r="F216" s="2002" t="s">
        <v>1717</v>
      </c>
      <c r="G216" s="1004"/>
      <c r="H216" s="992"/>
      <c r="I216" s="992"/>
      <c r="J216" s="992"/>
      <c r="K216" s="992"/>
      <c r="L216" s="2003"/>
      <c r="M216" s="992"/>
      <c r="N216" s="1022"/>
      <c r="O216" s="1022"/>
      <c r="P216" s="994">
        <f>SUM(P217:P222)</f>
        <v>2060000</v>
      </c>
      <c r="Q216" s="1018">
        <f>P216</f>
        <v>2060000</v>
      </c>
      <c r="R216" s="2004">
        <v>0</v>
      </c>
      <c r="S216" s="2005">
        <f t="shared" ref="S216" si="83">Q216-R216</f>
        <v>2060000</v>
      </c>
      <c r="T216" s="2006"/>
    </row>
    <row r="217" spans="1:20" s="930" customFormat="1" ht="15" customHeight="1">
      <c r="A217" s="617"/>
      <c r="B217" s="632"/>
      <c r="C217" s="719"/>
      <c r="D217" s="632"/>
      <c r="E217" s="725"/>
      <c r="F217" s="2060" t="s">
        <v>2507</v>
      </c>
      <c r="G217" s="2093">
        <v>80000</v>
      </c>
      <c r="H217" s="2061" t="s">
        <v>454</v>
      </c>
      <c r="I217" s="2062">
        <v>2</v>
      </c>
      <c r="J217" s="2061"/>
      <c r="K217" s="2061"/>
      <c r="L217" s="2063"/>
      <c r="M217" s="2061"/>
      <c r="N217" s="2064"/>
      <c r="O217" s="2064" t="s">
        <v>22</v>
      </c>
      <c r="P217" s="2065">
        <f t="shared" ref="P217:P222" si="84">PRODUCT(G217:N217)</f>
        <v>160000</v>
      </c>
      <c r="Q217" s="694"/>
      <c r="R217" s="694"/>
      <c r="S217" s="695"/>
      <c r="T217" s="2089"/>
    </row>
    <row r="218" spans="1:20" s="930" customFormat="1" ht="15" customHeight="1">
      <c r="A218" s="617"/>
      <c r="B218" s="632"/>
      <c r="C218" s="719"/>
      <c r="D218" s="632"/>
      <c r="E218" s="725"/>
      <c r="F218" s="2060" t="s">
        <v>2508</v>
      </c>
      <c r="G218" s="2093">
        <v>450000</v>
      </c>
      <c r="H218" s="2061" t="s">
        <v>454</v>
      </c>
      <c r="I218" s="2062">
        <v>2</v>
      </c>
      <c r="J218" s="2061"/>
      <c r="K218" s="2061"/>
      <c r="L218" s="2063"/>
      <c r="M218" s="2061"/>
      <c r="N218" s="2064"/>
      <c r="O218" s="2064" t="s">
        <v>22</v>
      </c>
      <c r="P218" s="2065">
        <f t="shared" si="84"/>
        <v>900000</v>
      </c>
      <c r="Q218" s="694"/>
      <c r="R218" s="694"/>
      <c r="S218" s="695"/>
      <c r="T218" s="2089"/>
    </row>
    <row r="219" spans="1:20" s="930" customFormat="1" ht="15" customHeight="1">
      <c r="A219" s="617"/>
      <c r="B219" s="632"/>
      <c r="C219" s="719"/>
      <c r="D219" s="632"/>
      <c r="E219" s="725"/>
      <c r="F219" s="2060" t="s">
        <v>2509</v>
      </c>
      <c r="G219" s="2093">
        <v>100000</v>
      </c>
      <c r="H219" s="2061" t="s">
        <v>454</v>
      </c>
      <c r="I219" s="2062">
        <v>1</v>
      </c>
      <c r="J219" s="2061"/>
      <c r="K219" s="2061"/>
      <c r="L219" s="2063"/>
      <c r="M219" s="2061"/>
      <c r="N219" s="2064"/>
      <c r="O219" s="2064" t="s">
        <v>22</v>
      </c>
      <c r="P219" s="2065">
        <f t="shared" si="84"/>
        <v>100000</v>
      </c>
      <c r="Q219" s="694"/>
      <c r="R219" s="694"/>
      <c r="S219" s="695"/>
      <c r="T219" s="2089"/>
    </row>
    <row r="220" spans="1:20" s="930" customFormat="1" ht="15" customHeight="1">
      <c r="A220" s="617"/>
      <c r="B220" s="632"/>
      <c r="C220" s="719"/>
      <c r="D220" s="632"/>
      <c r="E220" s="725"/>
      <c r="F220" s="2060" t="s">
        <v>2510</v>
      </c>
      <c r="G220" s="2093">
        <v>7000</v>
      </c>
      <c r="H220" s="2061" t="s">
        <v>454</v>
      </c>
      <c r="I220" s="2066">
        <v>60</v>
      </c>
      <c r="J220" s="2061"/>
      <c r="K220" s="2062"/>
      <c r="L220" s="2063"/>
      <c r="M220" s="2061"/>
      <c r="N220" s="2064"/>
      <c r="O220" s="2064" t="s">
        <v>22</v>
      </c>
      <c r="P220" s="2065">
        <f t="shared" si="84"/>
        <v>420000</v>
      </c>
      <c r="Q220" s="694"/>
      <c r="R220" s="694"/>
      <c r="S220" s="695"/>
      <c r="T220" s="2089"/>
    </row>
    <row r="221" spans="1:20" s="930" customFormat="1" ht="15" customHeight="1">
      <c r="A221" s="617"/>
      <c r="B221" s="632"/>
      <c r="C221" s="719"/>
      <c r="D221" s="632"/>
      <c r="E221" s="725"/>
      <c r="F221" s="2060" t="s">
        <v>2511</v>
      </c>
      <c r="G221" s="2093">
        <v>3000</v>
      </c>
      <c r="H221" s="2061" t="s">
        <v>454</v>
      </c>
      <c r="I221" s="2066">
        <v>60</v>
      </c>
      <c r="J221" s="2061"/>
      <c r="K221" s="2062"/>
      <c r="L221" s="2063"/>
      <c r="M221" s="2061"/>
      <c r="N221" s="2064"/>
      <c r="O221" s="2064" t="s">
        <v>22</v>
      </c>
      <c r="P221" s="2065">
        <f t="shared" si="84"/>
        <v>180000</v>
      </c>
      <c r="Q221" s="694"/>
      <c r="R221" s="694"/>
      <c r="S221" s="695"/>
      <c r="T221" s="2089"/>
    </row>
    <row r="222" spans="1:20" s="930" customFormat="1" ht="15" customHeight="1">
      <c r="A222" s="617"/>
      <c r="B222" s="632"/>
      <c r="C222" s="719"/>
      <c r="D222" s="632"/>
      <c r="E222" s="725"/>
      <c r="F222" s="2060" t="s">
        <v>2512</v>
      </c>
      <c r="G222" s="2094">
        <v>150000</v>
      </c>
      <c r="H222" s="2061" t="s">
        <v>454</v>
      </c>
      <c r="I222" s="2062">
        <v>2</v>
      </c>
      <c r="J222" s="2061"/>
      <c r="K222" s="2062"/>
      <c r="L222" s="2091"/>
      <c r="M222" s="2092"/>
      <c r="N222" s="2064"/>
      <c r="O222" s="2064" t="s">
        <v>22</v>
      </c>
      <c r="P222" s="2065">
        <f t="shared" si="84"/>
        <v>300000</v>
      </c>
      <c r="Q222" s="694"/>
      <c r="R222" s="694"/>
      <c r="S222" s="695"/>
      <c r="T222" s="2089"/>
    </row>
    <row r="223" spans="1:20" s="930" customFormat="1" ht="15" customHeight="1">
      <c r="A223" s="617"/>
      <c r="B223" s="632"/>
      <c r="C223" s="719"/>
      <c r="D223" s="632"/>
      <c r="E223" s="725"/>
      <c r="F223" s="2002" t="s">
        <v>1718</v>
      </c>
      <c r="G223" s="1004"/>
      <c r="H223" s="992"/>
      <c r="I223" s="992"/>
      <c r="J223" s="992"/>
      <c r="K223" s="992"/>
      <c r="L223" s="2003"/>
      <c r="M223" s="992"/>
      <c r="N223" s="1022"/>
      <c r="O223" s="1022"/>
      <c r="P223" s="994">
        <f>SUM(P224:P229)</f>
        <v>2600000</v>
      </c>
      <c r="Q223" s="1018">
        <f>P223</f>
        <v>2600000</v>
      </c>
      <c r="R223" s="2004">
        <v>0</v>
      </c>
      <c r="S223" s="2005">
        <f t="shared" ref="S223" si="85">Q223-R223</f>
        <v>2600000</v>
      </c>
      <c r="T223" s="2006"/>
    </row>
    <row r="224" spans="1:20" s="930" customFormat="1" ht="15" customHeight="1">
      <c r="A224" s="617"/>
      <c r="B224" s="632"/>
      <c r="C224" s="719"/>
      <c r="D224" s="632"/>
      <c r="E224" s="725"/>
      <c r="F224" s="2060" t="s">
        <v>2513</v>
      </c>
      <c r="G224" s="2093">
        <v>280000</v>
      </c>
      <c r="H224" s="2061" t="s">
        <v>454</v>
      </c>
      <c r="I224" s="2062">
        <v>2</v>
      </c>
      <c r="J224" s="2061"/>
      <c r="K224" s="2061"/>
      <c r="L224" s="2063"/>
      <c r="M224" s="2061"/>
      <c r="N224" s="2064"/>
      <c r="O224" s="2064" t="s">
        <v>22</v>
      </c>
      <c r="P224" s="2065">
        <f t="shared" ref="P224:P229" si="86">PRODUCT(G224:N224)</f>
        <v>560000</v>
      </c>
      <c r="Q224" s="694"/>
      <c r="R224" s="694"/>
      <c r="S224" s="695"/>
      <c r="T224" s="2089"/>
    </row>
    <row r="225" spans="1:22" s="930" customFormat="1" ht="15" customHeight="1">
      <c r="A225" s="617"/>
      <c r="B225" s="632"/>
      <c r="C225" s="719"/>
      <c r="D225" s="632"/>
      <c r="E225" s="725"/>
      <c r="F225" s="2060" t="s">
        <v>2514</v>
      </c>
      <c r="G225" s="2093">
        <v>7000</v>
      </c>
      <c r="H225" s="2061" t="s">
        <v>454</v>
      </c>
      <c r="I225" s="2066">
        <v>20</v>
      </c>
      <c r="J225" s="2061" t="s">
        <v>454</v>
      </c>
      <c r="K225" s="2062">
        <v>3</v>
      </c>
      <c r="L225" s="2063"/>
      <c r="M225" s="2061"/>
      <c r="N225" s="2064"/>
      <c r="O225" s="2064" t="s">
        <v>22</v>
      </c>
      <c r="P225" s="2065">
        <f t="shared" si="86"/>
        <v>420000</v>
      </c>
      <c r="Q225" s="694"/>
      <c r="R225" s="694"/>
      <c r="S225" s="695"/>
      <c r="T225" s="2089"/>
    </row>
    <row r="226" spans="1:22" s="930" customFormat="1" ht="15" customHeight="1">
      <c r="A226" s="617"/>
      <c r="B226" s="632"/>
      <c r="C226" s="719"/>
      <c r="D226" s="632"/>
      <c r="E226" s="725"/>
      <c r="F226" s="2060" t="s">
        <v>2515</v>
      </c>
      <c r="G226" s="2093">
        <v>3000</v>
      </c>
      <c r="H226" s="2061" t="s">
        <v>454</v>
      </c>
      <c r="I226" s="2066">
        <v>20</v>
      </c>
      <c r="J226" s="2061" t="s">
        <v>454</v>
      </c>
      <c r="K226" s="2062">
        <v>2</v>
      </c>
      <c r="L226" s="2063"/>
      <c r="M226" s="2061"/>
      <c r="N226" s="2064"/>
      <c r="O226" s="2064" t="s">
        <v>22</v>
      </c>
      <c r="P226" s="2065">
        <f t="shared" si="86"/>
        <v>120000</v>
      </c>
      <c r="Q226" s="694"/>
      <c r="R226" s="694"/>
      <c r="S226" s="695"/>
      <c r="T226" s="2089"/>
    </row>
    <row r="227" spans="1:22" s="930" customFormat="1" ht="15" customHeight="1">
      <c r="A227" s="617"/>
      <c r="B227" s="632"/>
      <c r="C227" s="719"/>
      <c r="D227" s="632"/>
      <c r="E227" s="725"/>
      <c r="F227" s="2060" t="s">
        <v>2516</v>
      </c>
      <c r="G227" s="2094">
        <v>20000</v>
      </c>
      <c r="H227" s="2061" t="s">
        <v>454</v>
      </c>
      <c r="I227" s="2062">
        <v>1</v>
      </c>
      <c r="J227" s="2061"/>
      <c r="K227" s="2062"/>
      <c r="L227" s="2091"/>
      <c r="M227" s="2092"/>
      <c r="N227" s="2064"/>
      <c r="O227" s="2064" t="s">
        <v>22</v>
      </c>
      <c r="P227" s="2065">
        <f t="shared" si="86"/>
        <v>20000</v>
      </c>
      <c r="Q227" s="694"/>
      <c r="R227" s="694"/>
      <c r="S227" s="695"/>
      <c r="T227" s="2089"/>
    </row>
    <row r="228" spans="1:22" s="930" customFormat="1" ht="15" customHeight="1">
      <c r="A228" s="617"/>
      <c r="B228" s="632"/>
      <c r="C228" s="719"/>
      <c r="D228" s="632"/>
      <c r="E228" s="725"/>
      <c r="F228" s="2060" t="s">
        <v>2517</v>
      </c>
      <c r="G228" s="2093">
        <v>280000</v>
      </c>
      <c r="H228" s="2061" t="s">
        <v>454</v>
      </c>
      <c r="I228" s="2066">
        <v>1</v>
      </c>
      <c r="J228" s="2061" t="s">
        <v>454</v>
      </c>
      <c r="K228" s="2062">
        <v>1</v>
      </c>
      <c r="L228" s="2063"/>
      <c r="M228" s="2061"/>
      <c r="N228" s="2064"/>
      <c r="O228" s="2064" t="s">
        <v>22</v>
      </c>
      <c r="P228" s="2065">
        <f t="shared" si="86"/>
        <v>280000</v>
      </c>
      <c r="Q228" s="694"/>
      <c r="R228" s="694"/>
      <c r="S228" s="695"/>
      <c r="T228" s="2089"/>
    </row>
    <row r="229" spans="1:22" s="930" customFormat="1" ht="15" customHeight="1">
      <c r="A229" s="617"/>
      <c r="B229" s="632"/>
      <c r="C229" s="719"/>
      <c r="D229" s="632"/>
      <c r="E229" s="725"/>
      <c r="F229" s="2060" t="s">
        <v>2518</v>
      </c>
      <c r="G229" s="2094">
        <v>300000</v>
      </c>
      <c r="H229" s="2061" t="s">
        <v>454</v>
      </c>
      <c r="I229" s="2062">
        <v>4</v>
      </c>
      <c r="J229" s="2061"/>
      <c r="K229" s="2062"/>
      <c r="L229" s="2091"/>
      <c r="M229" s="2092"/>
      <c r="N229" s="2064"/>
      <c r="O229" s="2064" t="s">
        <v>22</v>
      </c>
      <c r="P229" s="2065">
        <f t="shared" si="86"/>
        <v>1200000</v>
      </c>
      <c r="Q229" s="694"/>
      <c r="R229" s="694"/>
      <c r="S229" s="695"/>
      <c r="T229" s="2089"/>
    </row>
    <row r="230" spans="1:22" s="930" customFormat="1" ht="15" customHeight="1">
      <c r="A230" s="617"/>
      <c r="B230" s="632"/>
      <c r="C230" s="719"/>
      <c r="D230" s="632"/>
      <c r="E230" s="725"/>
      <c r="F230" s="2002" t="s">
        <v>1719</v>
      </c>
      <c r="G230" s="1004"/>
      <c r="H230" s="992"/>
      <c r="I230" s="992"/>
      <c r="J230" s="992"/>
      <c r="K230" s="992"/>
      <c r="L230" s="2003"/>
      <c r="M230" s="992"/>
      <c r="N230" s="1022"/>
      <c r="O230" s="1022"/>
      <c r="P230" s="994">
        <f>SUM(P231:P234)</f>
        <v>1808000</v>
      </c>
      <c r="Q230" s="1018">
        <f>P230</f>
        <v>1808000</v>
      </c>
      <c r="R230" s="2004">
        <v>2500000</v>
      </c>
      <c r="S230" s="2005">
        <f t="shared" ref="S230" si="87">Q230-R230</f>
        <v>-692000</v>
      </c>
      <c r="T230" s="2006">
        <f t="shared" ref="T230" si="88">S230/R230</f>
        <v>-0.27679999999999999</v>
      </c>
    </row>
    <row r="231" spans="1:22" s="930" customFormat="1" ht="15" customHeight="1">
      <c r="A231" s="617"/>
      <c r="B231" s="632"/>
      <c r="C231" s="719"/>
      <c r="D231" s="632"/>
      <c r="E231" s="725"/>
      <c r="F231" s="2060" t="s">
        <v>2519</v>
      </c>
      <c r="G231" s="1459">
        <v>100000</v>
      </c>
      <c r="H231" s="2061" t="s">
        <v>2423</v>
      </c>
      <c r="I231" s="2062">
        <v>2</v>
      </c>
      <c r="J231" s="2061"/>
      <c r="K231" s="2061"/>
      <c r="L231" s="2063"/>
      <c r="M231" s="2061"/>
      <c r="N231" s="2064"/>
      <c r="O231" s="2064" t="s">
        <v>22</v>
      </c>
      <c r="P231" s="2065">
        <f>PRODUCT(G231:N231)</f>
        <v>200000</v>
      </c>
      <c r="Q231" s="694"/>
      <c r="R231" s="694"/>
      <c r="S231" s="695"/>
      <c r="T231" s="2089"/>
    </row>
    <row r="232" spans="1:22" s="930" customFormat="1" ht="15" customHeight="1">
      <c r="A232" s="617"/>
      <c r="B232" s="632"/>
      <c r="C232" s="719"/>
      <c r="D232" s="632"/>
      <c r="E232" s="725"/>
      <c r="F232" s="2060" t="s">
        <v>2520</v>
      </c>
      <c r="G232" s="1459">
        <v>150000</v>
      </c>
      <c r="H232" s="2061" t="s">
        <v>2423</v>
      </c>
      <c r="I232" s="2062">
        <v>4</v>
      </c>
      <c r="J232" s="2061"/>
      <c r="K232" s="2061"/>
      <c r="L232" s="2063"/>
      <c r="M232" s="2061"/>
      <c r="N232" s="2064"/>
      <c r="O232" s="2064" t="s">
        <v>22</v>
      </c>
      <c r="P232" s="2065">
        <f>PRODUCT(G232:N232)</f>
        <v>600000</v>
      </c>
      <c r="Q232" s="694"/>
      <c r="R232" s="694"/>
      <c r="S232" s="695"/>
      <c r="T232" s="2089"/>
    </row>
    <row r="233" spans="1:22" s="930" customFormat="1" ht="15" customHeight="1">
      <c r="A233" s="617"/>
      <c r="B233" s="632"/>
      <c r="C233" s="719"/>
      <c r="D233" s="632"/>
      <c r="E233" s="725"/>
      <c r="F233" s="2060" t="s">
        <v>2521</v>
      </c>
      <c r="G233" s="1459">
        <v>3000</v>
      </c>
      <c r="H233" s="2061" t="s">
        <v>2423</v>
      </c>
      <c r="I233" s="2066">
        <v>25</v>
      </c>
      <c r="J233" s="2061" t="s">
        <v>2423</v>
      </c>
      <c r="K233" s="2062">
        <v>12</v>
      </c>
      <c r="L233" s="2063"/>
      <c r="M233" s="2061"/>
      <c r="N233" s="2064"/>
      <c r="O233" s="2064" t="s">
        <v>22</v>
      </c>
      <c r="P233" s="2065">
        <f>PRODUCT(G233:N233)</f>
        <v>900000</v>
      </c>
      <c r="Q233" s="694"/>
      <c r="R233" s="694"/>
      <c r="S233" s="695"/>
      <c r="T233" s="2089"/>
    </row>
    <row r="234" spans="1:22" s="930" customFormat="1" ht="15" customHeight="1">
      <c r="A234" s="617"/>
      <c r="B234" s="632"/>
      <c r="C234" s="719"/>
      <c r="D234" s="632"/>
      <c r="E234" s="725"/>
      <c r="F234" s="2060" t="s">
        <v>2523</v>
      </c>
      <c r="G234" s="2105">
        <v>1080</v>
      </c>
      <c r="H234" s="2106" t="s">
        <v>2423</v>
      </c>
      <c r="I234" s="2107">
        <v>25</v>
      </c>
      <c r="J234" s="2106" t="s">
        <v>2423</v>
      </c>
      <c r="K234" s="2108">
        <v>4</v>
      </c>
      <c r="L234" s="2109"/>
      <c r="M234" s="2110"/>
      <c r="N234" s="2111"/>
      <c r="O234" s="2111" t="s">
        <v>22</v>
      </c>
      <c r="P234" s="2112">
        <f>PRODUCT(G234:N234)</f>
        <v>108000</v>
      </c>
      <c r="Q234" s="666"/>
      <c r="R234" s="666"/>
      <c r="S234" s="667"/>
      <c r="T234" s="2113"/>
      <c r="V234" s="930">
        <v>108000</v>
      </c>
    </row>
    <row r="235" spans="1:22" s="930" customFormat="1" ht="15" customHeight="1">
      <c r="A235" s="617"/>
      <c r="B235" s="632"/>
      <c r="C235" s="719"/>
      <c r="D235" s="632"/>
      <c r="E235" s="725"/>
      <c r="F235" s="2002" t="s">
        <v>2900</v>
      </c>
      <c r="G235" s="1004"/>
      <c r="H235" s="992"/>
      <c r="I235" s="992"/>
      <c r="J235" s="992"/>
      <c r="K235" s="992"/>
      <c r="L235" s="2003"/>
      <c r="M235" s="992"/>
      <c r="N235" s="1022"/>
      <c r="O235" s="1022"/>
      <c r="P235" s="994"/>
      <c r="Q235" s="1018">
        <f>P235</f>
        <v>0</v>
      </c>
      <c r="R235" s="2004">
        <v>630000</v>
      </c>
      <c r="S235" s="2005">
        <f t="shared" ref="S235" si="89">Q235-R235</f>
        <v>-630000</v>
      </c>
      <c r="T235" s="2006">
        <f t="shared" ref="T235" si="90">S235/R235</f>
        <v>-1</v>
      </c>
    </row>
    <row r="236" spans="1:22" s="930" customFormat="1" ht="15" customHeight="1">
      <c r="A236" s="617"/>
      <c r="B236" s="632"/>
      <c r="C236" s="719"/>
      <c r="D236" s="632"/>
      <c r="E236" s="3637" t="s">
        <v>3119</v>
      </c>
      <c r="F236" s="3638"/>
      <c r="G236" s="3638"/>
      <c r="H236" s="3638"/>
      <c r="I236" s="3638"/>
      <c r="J236" s="3638"/>
      <c r="K236" s="3638"/>
      <c r="L236" s="3638"/>
      <c r="M236" s="3638"/>
      <c r="N236" s="3638"/>
      <c r="O236" s="3638"/>
      <c r="P236" s="3639"/>
      <c r="Q236" s="645">
        <f>SUM(P237,P242)</f>
        <v>2060000</v>
      </c>
      <c r="R236" s="645">
        <f>SUM(R237:R249)</f>
        <v>10900000</v>
      </c>
      <c r="S236" s="646">
        <f>Q236-R236</f>
        <v>-8840000</v>
      </c>
      <c r="T236" s="647">
        <f t="shared" ref="T236" si="91">S236/R236</f>
        <v>-0.81100917431192665</v>
      </c>
      <c r="V236" s="930">
        <f>V234/4/25</f>
        <v>1080</v>
      </c>
    </row>
    <row r="237" spans="1:22" s="930" customFormat="1" ht="15" customHeight="1">
      <c r="A237" s="617"/>
      <c r="B237" s="632"/>
      <c r="C237" s="719"/>
      <c r="D237" s="632"/>
      <c r="E237" s="3291"/>
      <c r="F237" s="2002" t="s">
        <v>1720</v>
      </c>
      <c r="G237" s="1004"/>
      <c r="H237" s="992"/>
      <c r="I237" s="992"/>
      <c r="J237" s="992"/>
      <c r="K237" s="992"/>
      <c r="L237" s="2003"/>
      <c r="M237" s="992"/>
      <c r="N237" s="1022"/>
      <c r="O237" s="1022"/>
      <c r="P237" s="994">
        <f>SUM(P238:P241)</f>
        <v>880000</v>
      </c>
      <c r="Q237" s="1018">
        <f>P237</f>
        <v>880000</v>
      </c>
      <c r="R237" s="2004">
        <v>0</v>
      </c>
      <c r="S237" s="2005">
        <f t="shared" ref="S237" si="92">Q237-R237</f>
        <v>880000</v>
      </c>
      <c r="T237" s="2006"/>
    </row>
    <row r="238" spans="1:22" s="930" customFormat="1" ht="15" customHeight="1">
      <c r="A238" s="617"/>
      <c r="B238" s="632"/>
      <c r="C238" s="719"/>
      <c r="D238" s="632"/>
      <c r="E238" s="3291"/>
      <c r="F238" s="2060" t="s">
        <v>2524</v>
      </c>
      <c r="G238" s="1459">
        <v>100000</v>
      </c>
      <c r="H238" s="2061" t="s">
        <v>1707</v>
      </c>
      <c r="I238" s="2062">
        <v>2</v>
      </c>
      <c r="J238" s="2061"/>
      <c r="K238" s="2061"/>
      <c r="L238" s="2063"/>
      <c r="M238" s="2061"/>
      <c r="N238" s="2064"/>
      <c r="O238" s="2064" t="s">
        <v>22</v>
      </c>
      <c r="P238" s="2065">
        <f>PRODUCT(G238:N238)</f>
        <v>200000</v>
      </c>
      <c r="Q238" s="694"/>
      <c r="R238" s="694"/>
      <c r="S238" s="695"/>
      <c r="T238" s="2089"/>
      <c r="V238" s="930">
        <f>V234/25/4</f>
        <v>1080</v>
      </c>
    </row>
    <row r="239" spans="1:22" s="930" customFormat="1" ht="15" customHeight="1">
      <c r="A239" s="617"/>
      <c r="B239" s="632"/>
      <c r="C239" s="719"/>
      <c r="D239" s="632"/>
      <c r="E239" s="3291"/>
      <c r="F239" s="2060" t="s">
        <v>2525</v>
      </c>
      <c r="G239" s="1459">
        <v>150000</v>
      </c>
      <c r="H239" s="2061" t="s">
        <v>2526</v>
      </c>
      <c r="I239" s="2062">
        <v>2</v>
      </c>
      <c r="J239" s="2061"/>
      <c r="K239" s="2061"/>
      <c r="L239" s="2063"/>
      <c r="M239" s="2061"/>
      <c r="N239" s="2064"/>
      <c r="O239" s="2064" t="s">
        <v>22</v>
      </c>
      <c r="P239" s="2065">
        <f>PRODUCT(G239:N239)</f>
        <v>300000</v>
      </c>
      <c r="Q239" s="694"/>
      <c r="R239" s="694"/>
      <c r="S239" s="695"/>
      <c r="T239" s="2089"/>
    </row>
    <row r="240" spans="1:22" s="930" customFormat="1" ht="15" customHeight="1">
      <c r="A240" s="617"/>
      <c r="B240" s="632"/>
      <c r="C240" s="719"/>
      <c r="D240" s="632"/>
      <c r="E240" s="3291"/>
      <c r="F240" s="2060" t="s">
        <v>2527</v>
      </c>
      <c r="G240" s="1459">
        <v>3000</v>
      </c>
      <c r="H240" s="2061" t="s">
        <v>2528</v>
      </c>
      <c r="I240" s="2066">
        <v>30</v>
      </c>
      <c r="J240" s="2061" t="s">
        <v>2529</v>
      </c>
      <c r="K240" s="2062">
        <v>2</v>
      </c>
      <c r="L240" s="2063"/>
      <c r="M240" s="2061"/>
      <c r="N240" s="2064"/>
      <c r="O240" s="2064" t="s">
        <v>22</v>
      </c>
      <c r="P240" s="2065">
        <f>PRODUCT(G240:N240)</f>
        <v>180000</v>
      </c>
      <c r="Q240" s="694"/>
      <c r="R240" s="694"/>
      <c r="S240" s="695"/>
      <c r="T240" s="2089"/>
    </row>
    <row r="241" spans="1:22" s="930" customFormat="1" ht="15" customHeight="1">
      <c r="A241" s="617"/>
      <c r="B241" s="632"/>
      <c r="C241" s="719"/>
      <c r="D241" s="632"/>
      <c r="E241" s="3291"/>
      <c r="F241" s="2060" t="s">
        <v>2531</v>
      </c>
      <c r="G241" s="1424">
        <v>10000</v>
      </c>
      <c r="H241" s="2061" t="s">
        <v>2529</v>
      </c>
      <c r="I241" s="2066">
        <v>10</v>
      </c>
      <c r="J241" s="2061" t="s">
        <v>2528</v>
      </c>
      <c r="K241" s="2062">
        <v>2</v>
      </c>
      <c r="L241" s="2091"/>
      <c r="M241" s="2092"/>
      <c r="N241" s="2064"/>
      <c r="O241" s="2064" t="s">
        <v>22</v>
      </c>
      <c r="P241" s="2065">
        <f>PRODUCT(G241:N241)</f>
        <v>200000</v>
      </c>
      <c r="Q241" s="694"/>
      <c r="R241" s="694"/>
      <c r="S241" s="695"/>
      <c r="T241" s="2089"/>
      <c r="V241" s="930" t="s">
        <v>2956</v>
      </c>
    </row>
    <row r="242" spans="1:22" s="930" customFormat="1" ht="15" customHeight="1">
      <c r="A242" s="617"/>
      <c r="B242" s="632"/>
      <c r="C242" s="719"/>
      <c r="D242" s="632"/>
      <c r="E242" s="3291"/>
      <c r="F242" s="2002" t="s">
        <v>1721</v>
      </c>
      <c r="G242" s="1004"/>
      <c r="H242" s="992"/>
      <c r="I242" s="992"/>
      <c r="J242" s="992"/>
      <c r="K242" s="992"/>
      <c r="L242" s="2003"/>
      <c r="M242" s="992"/>
      <c r="N242" s="1022"/>
      <c r="O242" s="1022"/>
      <c r="P242" s="994">
        <f>SUM(P243:P246)</f>
        <v>1180000</v>
      </c>
      <c r="Q242" s="1018">
        <f>P242</f>
        <v>1180000</v>
      </c>
      <c r="R242" s="2004">
        <v>2500000</v>
      </c>
      <c r="S242" s="2005">
        <f t="shared" ref="S242" si="93">Q242-R242</f>
        <v>-1320000</v>
      </c>
      <c r="T242" s="2006">
        <f t="shared" ref="T242" si="94">S242/R242</f>
        <v>-0.52800000000000002</v>
      </c>
    </row>
    <row r="243" spans="1:22" s="930" customFormat="1" ht="15" customHeight="1">
      <c r="A243" s="617"/>
      <c r="B243" s="632"/>
      <c r="C243" s="719"/>
      <c r="D243" s="632"/>
      <c r="E243" s="3291"/>
      <c r="F243" s="2060" t="s">
        <v>2532</v>
      </c>
      <c r="G243" s="2093">
        <v>50000</v>
      </c>
      <c r="H243" s="2061" t="s">
        <v>454</v>
      </c>
      <c r="I243" s="2062">
        <v>1</v>
      </c>
      <c r="J243" s="2061"/>
      <c r="K243" s="2061"/>
      <c r="L243" s="2063"/>
      <c r="M243" s="2061"/>
      <c r="N243" s="2064"/>
      <c r="O243" s="2064" t="s">
        <v>22</v>
      </c>
      <c r="P243" s="2065">
        <f t="shared" ref="P243:P246" si="95">PRODUCT(G243:N243)</f>
        <v>50000</v>
      </c>
      <c r="Q243" s="694"/>
      <c r="R243" s="694"/>
      <c r="S243" s="695"/>
      <c r="T243" s="2089"/>
    </row>
    <row r="244" spans="1:22" s="930" customFormat="1" ht="15" customHeight="1">
      <c r="A244" s="617"/>
      <c r="B244" s="632"/>
      <c r="C244" s="719"/>
      <c r="D244" s="632"/>
      <c r="E244" s="3291"/>
      <c r="F244" s="2060" t="s">
        <v>2533</v>
      </c>
      <c r="G244" s="2093">
        <v>425000</v>
      </c>
      <c r="H244" s="2061" t="s">
        <v>454</v>
      </c>
      <c r="I244" s="2062">
        <v>1</v>
      </c>
      <c r="J244" s="2061"/>
      <c r="K244" s="2061"/>
      <c r="L244" s="2063"/>
      <c r="M244" s="2061"/>
      <c r="N244" s="2064"/>
      <c r="O244" s="2064" t="s">
        <v>22</v>
      </c>
      <c r="P244" s="2065">
        <f t="shared" si="95"/>
        <v>425000</v>
      </c>
      <c r="Q244" s="694"/>
      <c r="R244" s="694"/>
      <c r="S244" s="695"/>
      <c r="T244" s="2089"/>
    </row>
    <row r="245" spans="1:22" s="930" customFormat="1" ht="15" customHeight="1">
      <c r="A245" s="617"/>
      <c r="B245" s="632"/>
      <c r="C245" s="719"/>
      <c r="D245" s="632"/>
      <c r="E245" s="3291"/>
      <c r="F245" s="2060" t="s">
        <v>2534</v>
      </c>
      <c r="G245" s="2093">
        <v>7000</v>
      </c>
      <c r="H245" s="2061" t="s">
        <v>454</v>
      </c>
      <c r="I245" s="2066">
        <v>15</v>
      </c>
      <c r="J245" s="2061" t="s">
        <v>454</v>
      </c>
      <c r="K245" s="2062">
        <v>5</v>
      </c>
      <c r="L245" s="2063"/>
      <c r="M245" s="2061"/>
      <c r="N245" s="2064"/>
      <c r="O245" s="2064" t="s">
        <v>22</v>
      </c>
      <c r="P245" s="2065">
        <f t="shared" si="95"/>
        <v>525000</v>
      </c>
      <c r="Q245" s="694"/>
      <c r="R245" s="694"/>
      <c r="S245" s="695"/>
      <c r="T245" s="2089"/>
    </row>
    <row r="246" spans="1:22" s="930" customFormat="1" ht="15" customHeight="1">
      <c r="A246" s="617"/>
      <c r="B246" s="632"/>
      <c r="C246" s="719"/>
      <c r="D246" s="632"/>
      <c r="E246" s="3291"/>
      <c r="F246" s="2060" t="s">
        <v>2535</v>
      </c>
      <c r="G246" s="2093">
        <v>3000</v>
      </c>
      <c r="H246" s="2061" t="s">
        <v>454</v>
      </c>
      <c r="I246" s="2066">
        <v>15</v>
      </c>
      <c r="J246" s="2061" t="s">
        <v>454</v>
      </c>
      <c r="K246" s="2062">
        <v>4</v>
      </c>
      <c r="L246" s="2063"/>
      <c r="M246" s="2061"/>
      <c r="N246" s="2064"/>
      <c r="O246" s="2064" t="s">
        <v>22</v>
      </c>
      <c r="P246" s="2065">
        <f t="shared" si="95"/>
        <v>180000</v>
      </c>
      <c r="Q246" s="694"/>
      <c r="R246" s="694"/>
      <c r="S246" s="695"/>
      <c r="T246" s="2089"/>
    </row>
    <row r="247" spans="1:22" s="930" customFormat="1" ht="15" customHeight="1">
      <c r="A247" s="759"/>
      <c r="B247" s="703"/>
      <c r="C247" s="619"/>
      <c r="D247" s="703"/>
      <c r="E247" s="3351"/>
      <c r="F247" s="2038" t="s">
        <v>2901</v>
      </c>
      <c r="G247" s="1028"/>
      <c r="H247" s="1027"/>
      <c r="I247" s="1027"/>
      <c r="J247" s="1027"/>
      <c r="K247" s="1027"/>
      <c r="L247" s="2039"/>
      <c r="M247" s="1027"/>
      <c r="N247" s="1031"/>
      <c r="O247" s="1031"/>
      <c r="P247" s="2040"/>
      <c r="Q247" s="1034">
        <f>P247</f>
        <v>0</v>
      </c>
      <c r="R247" s="2041">
        <v>1900000</v>
      </c>
      <c r="S247" s="2042">
        <f t="shared" ref="S247:S249" si="96">Q247-R247</f>
        <v>-1900000</v>
      </c>
      <c r="T247" s="2043">
        <f t="shared" ref="T247:T249" si="97">S247/R247</f>
        <v>-1</v>
      </c>
    </row>
    <row r="248" spans="1:22" s="930" customFormat="1" ht="15" customHeight="1">
      <c r="A248" s="617"/>
      <c r="B248" s="632"/>
      <c r="C248" s="719"/>
      <c r="D248" s="632"/>
      <c r="E248" s="3291"/>
      <c r="F248" s="2002" t="s">
        <v>2902</v>
      </c>
      <c r="G248" s="1004"/>
      <c r="H248" s="992"/>
      <c r="I248" s="992"/>
      <c r="J248" s="992"/>
      <c r="K248" s="992"/>
      <c r="L248" s="2003"/>
      <c r="M248" s="992"/>
      <c r="N248" s="1022"/>
      <c r="O248" s="1022"/>
      <c r="P248" s="994"/>
      <c r="Q248" s="1018">
        <f>P248</f>
        <v>0</v>
      </c>
      <c r="R248" s="2004">
        <v>5000000</v>
      </c>
      <c r="S248" s="2005">
        <f t="shared" si="96"/>
        <v>-5000000</v>
      </c>
      <c r="T248" s="2006">
        <f t="shared" si="97"/>
        <v>-1</v>
      </c>
    </row>
    <row r="249" spans="1:22" s="930" customFormat="1" ht="15" customHeight="1">
      <c r="A249" s="617"/>
      <c r="B249" s="632"/>
      <c r="C249" s="719"/>
      <c r="D249" s="632"/>
      <c r="E249" s="3291"/>
      <c r="F249" s="2002" t="s">
        <v>2903</v>
      </c>
      <c r="G249" s="1004"/>
      <c r="H249" s="992"/>
      <c r="I249" s="992"/>
      <c r="J249" s="992"/>
      <c r="K249" s="992"/>
      <c r="L249" s="2003"/>
      <c r="M249" s="992"/>
      <c r="N249" s="1022"/>
      <c r="O249" s="1022"/>
      <c r="P249" s="994"/>
      <c r="Q249" s="1018">
        <f>P249</f>
        <v>0</v>
      </c>
      <c r="R249" s="2004">
        <v>1500000</v>
      </c>
      <c r="S249" s="2005">
        <f t="shared" si="96"/>
        <v>-1500000</v>
      </c>
      <c r="T249" s="2006">
        <f t="shared" si="97"/>
        <v>-1</v>
      </c>
    </row>
    <row r="250" spans="1:22" s="930" customFormat="1" ht="15" customHeight="1">
      <c r="A250" s="617"/>
      <c r="B250" s="632"/>
      <c r="C250" s="719"/>
      <c r="D250" s="632"/>
      <c r="E250" s="3637" t="s">
        <v>3120</v>
      </c>
      <c r="F250" s="3638"/>
      <c r="G250" s="3638"/>
      <c r="H250" s="3638"/>
      <c r="I250" s="3638"/>
      <c r="J250" s="3638"/>
      <c r="K250" s="3638"/>
      <c r="L250" s="3638"/>
      <c r="M250" s="3638"/>
      <c r="N250" s="3638"/>
      <c r="O250" s="3638"/>
      <c r="P250" s="3639"/>
      <c r="Q250" s="645">
        <v>0</v>
      </c>
      <c r="R250" s="645">
        <v>0</v>
      </c>
      <c r="S250" s="646">
        <f>Q250-R250</f>
        <v>0</v>
      </c>
      <c r="T250" s="647"/>
    </row>
    <row r="251" spans="1:22" ht="15" customHeight="1">
      <c r="A251" s="778"/>
      <c r="B251" s="786"/>
      <c r="C251" s="3685" t="s">
        <v>3169</v>
      </c>
      <c r="D251" s="3686"/>
      <c r="E251" s="3686"/>
      <c r="F251" s="3686"/>
      <c r="G251" s="3686"/>
      <c r="H251" s="3686"/>
      <c r="I251" s="3686"/>
      <c r="J251" s="3686"/>
      <c r="K251" s="3686"/>
      <c r="L251" s="3686"/>
      <c r="M251" s="3686"/>
      <c r="N251" s="3686"/>
      <c r="O251" s="3686"/>
      <c r="P251" s="3687"/>
      <c r="Q251" s="872">
        <f>SUM(Q252,Q262,Q312,Q318)</f>
        <v>490992000</v>
      </c>
      <c r="R251" s="872">
        <f>SUM(R252,R262,R312,R318)</f>
        <v>145053000</v>
      </c>
      <c r="S251" s="764">
        <f>Q251-R251</f>
        <v>345939000</v>
      </c>
      <c r="T251" s="2001">
        <f t="shared" ref="T251" si="98">S251/R251</f>
        <v>2.3849144795350665</v>
      </c>
    </row>
    <row r="252" spans="1:22" ht="15" customHeight="1">
      <c r="A252" s="778"/>
      <c r="B252" s="786"/>
      <c r="C252" s="792"/>
      <c r="D252" s="2114" t="s">
        <v>1722</v>
      </c>
      <c r="E252" s="3352"/>
      <c r="F252" s="2115"/>
      <c r="G252" s="2116"/>
      <c r="H252" s="2117"/>
      <c r="I252" s="2117"/>
      <c r="J252" s="2117"/>
      <c r="K252" s="2117"/>
      <c r="L252" s="2118"/>
      <c r="M252" s="2117"/>
      <c r="N252" s="2119"/>
      <c r="O252" s="2119"/>
      <c r="P252" s="2117"/>
      <c r="Q252" s="989">
        <f>Q256</f>
        <v>47711000</v>
      </c>
      <c r="R252" s="989">
        <f>R256</f>
        <v>34140000</v>
      </c>
      <c r="S252" s="2120">
        <f>Q252-R252</f>
        <v>13571000</v>
      </c>
      <c r="T252" s="2121">
        <f>S252/R252</f>
        <v>0.39751025190392503</v>
      </c>
    </row>
    <row r="253" spans="1:22" ht="15" hidden="1" customHeight="1">
      <c r="A253" s="778"/>
      <c r="B253" s="786"/>
      <c r="C253" s="792"/>
      <c r="D253" s="844"/>
      <c r="E253" s="2455" t="s">
        <v>208</v>
      </c>
      <c r="F253" s="1324"/>
      <c r="G253" s="643"/>
      <c r="H253" s="642"/>
      <c r="I253" s="642"/>
      <c r="J253" s="642"/>
      <c r="K253" s="642"/>
      <c r="L253" s="1325"/>
      <c r="M253" s="642"/>
      <c r="N253" s="644"/>
      <c r="O253" s="644"/>
      <c r="P253" s="642"/>
      <c r="Q253" s="645">
        <f>+P254</f>
        <v>0</v>
      </c>
      <c r="R253" s="645"/>
      <c r="S253" s="646"/>
      <c r="T253" s="647"/>
    </row>
    <row r="254" spans="1:22" ht="15" hidden="1" customHeight="1">
      <c r="A254" s="778"/>
      <c r="B254" s="786"/>
      <c r="C254" s="792"/>
      <c r="D254" s="786"/>
      <c r="E254" s="844"/>
      <c r="F254" s="2122" t="s">
        <v>314</v>
      </c>
      <c r="G254" s="2123"/>
      <c r="H254" s="2124"/>
      <c r="I254" s="2124"/>
      <c r="J254" s="2124"/>
      <c r="K254" s="2124"/>
      <c r="L254" s="2125"/>
      <c r="M254" s="2124"/>
      <c r="N254" s="2126"/>
      <c r="O254" s="2126"/>
      <c r="P254" s="2127">
        <f>SUM(P255)</f>
        <v>0</v>
      </c>
      <c r="Q254" s="887"/>
      <c r="R254" s="887"/>
      <c r="S254" s="888"/>
      <c r="T254" s="2128"/>
    </row>
    <row r="255" spans="1:22" ht="15" hidden="1" customHeight="1">
      <c r="A255" s="778"/>
      <c r="B255" s="786"/>
      <c r="C255" s="792"/>
      <c r="D255" s="786"/>
      <c r="E255" s="3281"/>
      <c r="F255" s="740" t="s">
        <v>394</v>
      </c>
      <c r="G255" s="967"/>
      <c r="H255" s="648" t="s">
        <v>51</v>
      </c>
      <c r="I255" s="2129">
        <v>1</v>
      </c>
      <c r="J255" s="648" t="s">
        <v>21</v>
      </c>
      <c r="K255" s="969">
        <v>13</v>
      </c>
      <c r="L255" s="2130"/>
      <c r="M255" s="2131"/>
      <c r="N255" s="817"/>
      <c r="O255" s="817" t="s">
        <v>122</v>
      </c>
      <c r="P255" s="970">
        <f>ROUNDUP(G255*I255*K255,-3)</f>
        <v>0</v>
      </c>
      <c r="Q255" s="866"/>
      <c r="R255" s="866"/>
      <c r="S255" s="924"/>
      <c r="T255" s="2132"/>
    </row>
    <row r="256" spans="1:22" ht="15" customHeight="1">
      <c r="A256" s="778"/>
      <c r="B256" s="786"/>
      <c r="C256" s="792"/>
      <c r="D256" s="786"/>
      <c r="E256" s="3637" t="s">
        <v>432</v>
      </c>
      <c r="F256" s="3638"/>
      <c r="G256" s="3638"/>
      <c r="H256" s="3638"/>
      <c r="I256" s="3638"/>
      <c r="J256" s="3638"/>
      <c r="K256" s="3638"/>
      <c r="L256" s="3638"/>
      <c r="M256" s="3638"/>
      <c r="N256" s="3638"/>
      <c r="O256" s="3638"/>
      <c r="P256" s="3639"/>
      <c r="Q256" s="645">
        <f>P257</f>
        <v>47711000</v>
      </c>
      <c r="R256" s="645">
        <v>34140000</v>
      </c>
      <c r="S256" s="646">
        <f>Q256-R256</f>
        <v>13571000</v>
      </c>
      <c r="T256" s="647">
        <f t="shared" ref="T256:T257" si="99">S256/R256</f>
        <v>0.39751025190392503</v>
      </c>
    </row>
    <row r="257" spans="1:20" ht="15" customHeight="1">
      <c r="A257" s="778"/>
      <c r="B257" s="786"/>
      <c r="C257" s="792"/>
      <c r="D257" s="786"/>
      <c r="F257" s="2068" t="s">
        <v>757</v>
      </c>
      <c r="G257" s="2069"/>
      <c r="H257" s="2070"/>
      <c r="I257" s="2070"/>
      <c r="J257" s="2070"/>
      <c r="K257" s="2070"/>
      <c r="L257" s="2072"/>
      <c r="M257" s="2070"/>
      <c r="N257" s="2073"/>
      <c r="O257" s="2073"/>
      <c r="P257" s="2074">
        <f>SUM(P258:P261)</f>
        <v>47711000</v>
      </c>
      <c r="Q257" s="1018">
        <f>P257</f>
        <v>47711000</v>
      </c>
      <c r="R257" s="1039">
        <v>34140000</v>
      </c>
      <c r="S257" s="2005">
        <f t="shared" ref="S257" si="100">Q257-R257</f>
        <v>13571000</v>
      </c>
      <c r="T257" s="2006">
        <f t="shared" si="99"/>
        <v>0.39751025190392503</v>
      </c>
    </row>
    <row r="258" spans="1:20" ht="15" customHeight="1">
      <c r="A258" s="778"/>
      <c r="B258" s="786"/>
      <c r="C258" s="792"/>
      <c r="D258" s="786"/>
      <c r="F258" s="1522" t="s">
        <v>1723</v>
      </c>
      <c r="G258" s="2035">
        <v>1500000</v>
      </c>
      <c r="H258" s="996" t="s">
        <v>1724</v>
      </c>
      <c r="I258" s="2133">
        <v>2</v>
      </c>
      <c r="J258" s="996" t="s">
        <v>21</v>
      </c>
      <c r="K258" s="1000">
        <v>12</v>
      </c>
      <c r="L258" s="2036"/>
      <c r="M258" s="1000"/>
      <c r="N258" s="1001"/>
      <c r="O258" s="1001" t="s">
        <v>122</v>
      </c>
      <c r="P258" s="2037">
        <f t="shared" ref="P258:P260" si="101">ROUNDUP(G258*I258*K258,-3)</f>
        <v>36000000</v>
      </c>
      <c r="Q258" s="858"/>
      <c r="R258" s="858"/>
      <c r="S258" s="859"/>
      <c r="T258" s="891"/>
    </row>
    <row r="259" spans="1:20" ht="15" customHeight="1">
      <c r="A259" s="778"/>
      <c r="B259" s="786"/>
      <c r="C259" s="792"/>
      <c r="D259" s="786"/>
      <c r="E259" s="3282"/>
      <c r="F259" s="1522" t="s">
        <v>1642</v>
      </c>
      <c r="G259" s="2007">
        <v>500000</v>
      </c>
      <c r="H259" s="1523" t="s">
        <v>1724</v>
      </c>
      <c r="I259" s="2008">
        <v>1</v>
      </c>
      <c r="J259" s="1523" t="s">
        <v>21</v>
      </c>
      <c r="K259" s="1524">
        <v>12</v>
      </c>
      <c r="L259" s="1525"/>
      <c r="M259" s="1524"/>
      <c r="N259" s="1526"/>
      <c r="O259" s="1526" t="s">
        <v>122</v>
      </c>
      <c r="P259" s="1527">
        <f t="shared" si="101"/>
        <v>6000000</v>
      </c>
      <c r="Q259" s="858"/>
      <c r="R259" s="858"/>
      <c r="S259" s="859"/>
      <c r="T259" s="891"/>
    </row>
    <row r="260" spans="1:20" ht="15" customHeight="1">
      <c r="A260" s="778"/>
      <c r="B260" s="786"/>
      <c r="C260" s="792"/>
      <c r="D260" s="786"/>
      <c r="E260" s="3282"/>
      <c r="F260" s="1528" t="s">
        <v>1638</v>
      </c>
      <c r="G260" s="2007">
        <v>85000</v>
      </c>
      <c r="H260" s="1523" t="s">
        <v>1636</v>
      </c>
      <c r="I260" s="2008">
        <v>3</v>
      </c>
      <c r="J260" s="1523" t="s">
        <v>21</v>
      </c>
      <c r="K260" s="2009">
        <v>8</v>
      </c>
      <c r="L260" s="1523"/>
      <c r="M260" s="2009"/>
      <c r="N260" s="1523"/>
      <c r="O260" s="1526" t="s">
        <v>1725</v>
      </c>
      <c r="P260" s="1527">
        <f t="shared" si="101"/>
        <v>2040000</v>
      </c>
      <c r="Q260" s="858"/>
      <c r="R260" s="858"/>
      <c r="S260" s="859"/>
      <c r="T260" s="891"/>
    </row>
    <row r="261" spans="1:20" ht="15" customHeight="1">
      <c r="A261" s="778"/>
      <c r="B261" s="786"/>
      <c r="C261" s="792"/>
      <c r="D261" s="786"/>
      <c r="E261" s="3283"/>
      <c r="F261" s="1522" t="s">
        <v>1639</v>
      </c>
      <c r="G261" s="1516">
        <v>44044000</v>
      </c>
      <c r="H261" s="1523" t="s">
        <v>1636</v>
      </c>
      <c r="I261" s="3788">
        <v>12</v>
      </c>
      <c r="J261" s="3788"/>
      <c r="K261" s="1524"/>
      <c r="L261" s="1525"/>
      <c r="M261" s="1524"/>
      <c r="N261" s="1526"/>
      <c r="O261" s="1526" t="s">
        <v>1637</v>
      </c>
      <c r="P261" s="1527">
        <f>ROUNDUP((G261/12),-3)</f>
        <v>3671000</v>
      </c>
      <c r="Q261" s="858"/>
      <c r="R261" s="858"/>
      <c r="S261" s="859"/>
      <c r="T261" s="891"/>
    </row>
    <row r="262" spans="1:20" s="2134" customFormat="1" ht="15" customHeight="1">
      <c r="A262" s="1092"/>
      <c r="B262" s="1093"/>
      <c r="C262" s="1094"/>
      <c r="D262" s="1096" t="s">
        <v>186</v>
      </c>
      <c r="E262" s="3352"/>
      <c r="F262" s="2115"/>
      <c r="G262" s="2116"/>
      <c r="H262" s="2117"/>
      <c r="I262" s="2117"/>
      <c r="J262" s="2117"/>
      <c r="K262" s="2117"/>
      <c r="L262" s="2118"/>
      <c r="M262" s="2117"/>
      <c r="N262" s="2119"/>
      <c r="O262" s="2119"/>
      <c r="P262" s="2117"/>
      <c r="Q262" s="989">
        <f>Q263+Q275+Q279+Q283+Q288+Q291+Q296+Q299+Q304</f>
        <v>66588000</v>
      </c>
      <c r="R262" s="989">
        <f>R263+R275+R279+R283+R288+R291+R296+R299+R304</f>
        <v>15256000</v>
      </c>
      <c r="S262" s="2120">
        <f>Q262-R262</f>
        <v>51332000</v>
      </c>
      <c r="T262" s="2121">
        <f>S262/R262</f>
        <v>3.3647089669638177</v>
      </c>
    </row>
    <row r="263" spans="1:20" ht="15" customHeight="1">
      <c r="A263" s="778"/>
      <c r="B263" s="786"/>
      <c r="C263" s="792"/>
      <c r="D263" s="786"/>
      <c r="E263" s="3637" t="s">
        <v>3121</v>
      </c>
      <c r="F263" s="3638"/>
      <c r="G263" s="3638"/>
      <c r="H263" s="3638"/>
      <c r="I263" s="3638"/>
      <c r="J263" s="3638"/>
      <c r="K263" s="3638"/>
      <c r="L263" s="3638"/>
      <c r="M263" s="3638"/>
      <c r="N263" s="3638"/>
      <c r="O263" s="3638"/>
      <c r="P263" s="3639"/>
      <c r="Q263" s="1049">
        <f>P264+P270+P273</f>
        <v>35388000</v>
      </c>
      <c r="R263" s="1049">
        <f>SUM(R264:R274)</f>
        <v>5004000</v>
      </c>
      <c r="S263" s="646">
        <f>Q263-R263</f>
        <v>30384000</v>
      </c>
      <c r="T263" s="647">
        <f t="shared" ref="T263:T264" si="102">S263/R263</f>
        <v>6.0719424460431659</v>
      </c>
    </row>
    <row r="264" spans="1:20" ht="15" customHeight="1">
      <c r="A264" s="778"/>
      <c r="B264" s="786"/>
      <c r="C264" s="792"/>
      <c r="D264" s="786"/>
      <c r="F264" s="2002" t="s">
        <v>1726</v>
      </c>
      <c r="G264" s="1004"/>
      <c r="H264" s="992"/>
      <c r="I264" s="992"/>
      <c r="J264" s="992"/>
      <c r="K264" s="992"/>
      <c r="L264" s="2003"/>
      <c r="M264" s="992"/>
      <c r="N264" s="1022"/>
      <c r="O264" s="1022"/>
      <c r="P264" s="994">
        <f>SUM(P265:P269)</f>
        <v>16380000</v>
      </c>
      <c r="Q264" s="1018">
        <f>P264</f>
        <v>16380000</v>
      </c>
      <c r="R264" s="2004">
        <v>3404000</v>
      </c>
      <c r="S264" s="2005">
        <f t="shared" ref="S264" si="103">Q264-R264</f>
        <v>12976000</v>
      </c>
      <c r="T264" s="2006">
        <f t="shared" si="102"/>
        <v>3.8119858989424209</v>
      </c>
    </row>
    <row r="265" spans="1:20" ht="15" customHeight="1">
      <c r="A265" s="778"/>
      <c r="B265" s="786"/>
      <c r="C265" s="792"/>
      <c r="D265" s="786"/>
      <c r="E265" s="3282"/>
      <c r="F265" s="1522" t="s">
        <v>1727</v>
      </c>
      <c r="G265" s="1516">
        <v>164440000</v>
      </c>
      <c r="H265" s="1523" t="s">
        <v>1728</v>
      </c>
      <c r="I265" s="3787">
        <v>4.4999999999999998E-2</v>
      </c>
      <c r="J265" s="3787"/>
      <c r="K265" s="1524"/>
      <c r="L265" s="1525"/>
      <c r="M265" s="1524"/>
      <c r="N265" s="1526"/>
      <c r="O265" s="1526" t="s">
        <v>1729</v>
      </c>
      <c r="P265" s="1527">
        <f>ROUNDUP(G265*I265,-3)</f>
        <v>7400000</v>
      </c>
      <c r="Q265" s="2135"/>
      <c r="R265" s="2135"/>
      <c r="S265" s="2136"/>
      <c r="T265" s="2137"/>
    </row>
    <row r="266" spans="1:20" ht="15" customHeight="1">
      <c r="A266" s="778"/>
      <c r="B266" s="786"/>
      <c r="C266" s="792"/>
      <c r="D266" s="786"/>
      <c r="E266" s="3282"/>
      <c r="F266" s="1528" t="s">
        <v>1730</v>
      </c>
      <c r="G266" s="1516">
        <v>164440000</v>
      </c>
      <c r="H266" s="1523" t="s">
        <v>1728</v>
      </c>
      <c r="I266" s="3787">
        <v>3.1199999999999999E-2</v>
      </c>
      <c r="J266" s="3787"/>
      <c r="K266" s="1524"/>
      <c r="L266" s="1525"/>
      <c r="M266" s="1524"/>
      <c r="N266" s="1526"/>
      <c r="O266" s="1526" t="s">
        <v>1729</v>
      </c>
      <c r="P266" s="1527">
        <f>ROUNDUP(G266*I266,-3)</f>
        <v>5131000</v>
      </c>
      <c r="Q266" s="2135"/>
      <c r="R266" s="2135"/>
      <c r="S266" s="2136"/>
      <c r="T266" s="2137"/>
    </row>
    <row r="267" spans="1:20" ht="15" customHeight="1">
      <c r="A267" s="778"/>
      <c r="B267" s="786"/>
      <c r="C267" s="792"/>
      <c r="D267" s="786"/>
      <c r="E267" s="3282"/>
      <c r="F267" s="1528" t="s">
        <v>1731</v>
      </c>
      <c r="G267" s="1516">
        <f>P266</f>
        <v>5131000</v>
      </c>
      <c r="H267" s="1523" t="s">
        <v>1728</v>
      </c>
      <c r="I267" s="3787">
        <v>7.3800000000000004E-2</v>
      </c>
      <c r="J267" s="3787"/>
      <c r="K267" s="1524"/>
      <c r="L267" s="1525"/>
      <c r="M267" s="1524"/>
      <c r="N267" s="1526"/>
      <c r="O267" s="1526" t="s">
        <v>1729</v>
      </c>
      <c r="P267" s="1527">
        <f>ROUNDUP(G267*I267,-3)</f>
        <v>379000</v>
      </c>
      <c r="Q267" s="2135"/>
      <c r="R267" s="2135"/>
      <c r="S267" s="2136"/>
      <c r="T267" s="2137"/>
    </row>
    <row r="268" spans="1:20" ht="15" customHeight="1">
      <c r="A268" s="778"/>
      <c r="B268" s="786"/>
      <c r="C268" s="792"/>
      <c r="D268" s="786"/>
      <c r="E268" s="3282"/>
      <c r="F268" s="1528" t="s">
        <v>1732</v>
      </c>
      <c r="G268" s="1516">
        <v>164440000</v>
      </c>
      <c r="H268" s="1523" t="s">
        <v>1728</v>
      </c>
      <c r="I268" s="3787">
        <v>8.9999999999999993E-3</v>
      </c>
      <c r="J268" s="3787"/>
      <c r="K268" s="1524"/>
      <c r="L268" s="1525"/>
      <c r="M268" s="1524"/>
      <c r="N268" s="1526"/>
      <c r="O268" s="1526" t="s">
        <v>1729</v>
      </c>
      <c r="P268" s="1527">
        <f>ROUNDUP(G268*I268,-3)</f>
        <v>1480000</v>
      </c>
      <c r="Q268" s="2135"/>
      <c r="R268" s="2135"/>
      <c r="S268" s="2136"/>
      <c r="T268" s="2137"/>
    </row>
    <row r="269" spans="1:20" ht="15" customHeight="1">
      <c r="A269" s="778"/>
      <c r="B269" s="786"/>
      <c r="C269" s="792"/>
      <c r="D269" s="786"/>
      <c r="E269" s="3282"/>
      <c r="F269" s="1528" t="s">
        <v>1733</v>
      </c>
      <c r="G269" s="1516">
        <v>164440000</v>
      </c>
      <c r="H269" s="996" t="s">
        <v>1728</v>
      </c>
      <c r="I269" s="3787">
        <v>1.21E-2</v>
      </c>
      <c r="J269" s="3787"/>
      <c r="K269" s="1000"/>
      <c r="L269" s="1525"/>
      <c r="M269" s="1524"/>
      <c r="N269" s="1526"/>
      <c r="O269" s="1526" t="s">
        <v>1729</v>
      </c>
      <c r="P269" s="1527">
        <f>ROUNDUP(G269*I269,-3)</f>
        <v>1990000</v>
      </c>
      <c r="Q269" s="2135"/>
      <c r="R269" s="2135"/>
      <c r="S269" s="2136"/>
      <c r="T269" s="2137"/>
    </row>
    <row r="270" spans="1:20" ht="15" customHeight="1">
      <c r="A270" s="778"/>
      <c r="B270" s="786"/>
      <c r="C270" s="792"/>
      <c r="D270" s="786"/>
      <c r="E270" s="3283"/>
      <c r="F270" s="2002" t="s">
        <v>1734</v>
      </c>
      <c r="G270" s="1004"/>
      <c r="H270" s="992"/>
      <c r="I270" s="992"/>
      <c r="J270" s="992"/>
      <c r="K270" s="992"/>
      <c r="L270" s="2003"/>
      <c r="M270" s="992"/>
      <c r="N270" s="1022"/>
      <c r="O270" s="1022"/>
      <c r="P270" s="994">
        <f>SUM(P271:P272)</f>
        <v>14400000</v>
      </c>
      <c r="Q270" s="1018">
        <f>P270</f>
        <v>14400000</v>
      </c>
      <c r="R270" s="2004">
        <v>1600000</v>
      </c>
      <c r="S270" s="2005">
        <f t="shared" ref="S270" si="104">Q270-R270</f>
        <v>12800000</v>
      </c>
      <c r="T270" s="2006">
        <f t="shared" ref="T270" si="105">S270/R270</f>
        <v>8</v>
      </c>
    </row>
    <row r="271" spans="1:20" ht="15" customHeight="1">
      <c r="A271" s="778"/>
      <c r="B271" s="786"/>
      <c r="C271" s="792"/>
      <c r="D271" s="786"/>
      <c r="E271" s="3283"/>
      <c r="F271" s="1522" t="s">
        <v>1735</v>
      </c>
      <c r="G271" s="2035">
        <v>400000</v>
      </c>
      <c r="H271" s="996" t="s">
        <v>1728</v>
      </c>
      <c r="I271" s="2133">
        <v>6</v>
      </c>
      <c r="J271" s="996"/>
      <c r="K271" s="2139"/>
      <c r="L271" s="996"/>
      <c r="M271" s="2036"/>
      <c r="N271" s="2036"/>
      <c r="O271" s="1001" t="s">
        <v>1729</v>
      </c>
      <c r="P271" s="2065">
        <f t="shared" ref="P271:P274" si="106">PRODUCT(G271:N271)</f>
        <v>2400000</v>
      </c>
      <c r="Q271" s="2135"/>
      <c r="R271" s="2135"/>
      <c r="S271" s="2136"/>
      <c r="T271" s="2137"/>
    </row>
    <row r="272" spans="1:20" ht="15" customHeight="1">
      <c r="A272" s="778"/>
      <c r="B272" s="786"/>
      <c r="C272" s="792"/>
      <c r="D272" s="786"/>
      <c r="E272" s="3283"/>
      <c r="F272" s="1522" t="s">
        <v>1736</v>
      </c>
      <c r="G272" s="2035">
        <v>1000000</v>
      </c>
      <c r="H272" s="996" t="s">
        <v>1728</v>
      </c>
      <c r="I272" s="2133">
        <v>12</v>
      </c>
      <c r="J272" s="996"/>
      <c r="K272" s="1000"/>
      <c r="L272" s="2036"/>
      <c r="M272" s="1000"/>
      <c r="N272" s="1001"/>
      <c r="O272" s="1001" t="s">
        <v>1729</v>
      </c>
      <c r="P272" s="2065">
        <f t="shared" si="106"/>
        <v>12000000</v>
      </c>
      <c r="Q272" s="2135"/>
      <c r="R272" s="2135"/>
      <c r="S272" s="2136"/>
      <c r="T272" s="2137"/>
    </row>
    <row r="273" spans="1:20" ht="15" customHeight="1">
      <c r="A273" s="778"/>
      <c r="B273" s="786"/>
      <c r="C273" s="792"/>
      <c r="D273" s="786"/>
      <c r="E273" s="3283"/>
      <c r="F273" s="2002" t="s">
        <v>1737</v>
      </c>
      <c r="G273" s="1004"/>
      <c r="H273" s="992"/>
      <c r="I273" s="992"/>
      <c r="J273" s="992"/>
      <c r="K273" s="992"/>
      <c r="L273" s="2003"/>
      <c r="M273" s="992"/>
      <c r="N273" s="1022"/>
      <c r="O273" s="1022"/>
      <c r="P273" s="994">
        <f>SUM(P274:P274)</f>
        <v>4608000</v>
      </c>
      <c r="Q273" s="1018">
        <f>P273</f>
        <v>4608000</v>
      </c>
      <c r="R273" s="2004">
        <v>0</v>
      </c>
      <c r="S273" s="2005">
        <f t="shared" ref="S273" si="107">Q273-R273</f>
        <v>4608000</v>
      </c>
      <c r="T273" s="2006"/>
    </row>
    <row r="274" spans="1:20" ht="15" customHeight="1">
      <c r="A274" s="778"/>
      <c r="B274" s="786"/>
      <c r="C274" s="792"/>
      <c r="D274" s="786"/>
      <c r="F274" s="1528" t="s">
        <v>1738</v>
      </c>
      <c r="G274" s="2035">
        <v>8000</v>
      </c>
      <c r="H274" s="996" t="s">
        <v>1728</v>
      </c>
      <c r="I274" s="2133">
        <v>6</v>
      </c>
      <c r="J274" s="996" t="s">
        <v>21</v>
      </c>
      <c r="K274" s="2139">
        <v>8</v>
      </c>
      <c r="L274" s="996" t="s">
        <v>21</v>
      </c>
      <c r="M274" s="2036">
        <v>12</v>
      </c>
      <c r="N274" s="2036"/>
      <c r="O274" s="1001" t="s">
        <v>122</v>
      </c>
      <c r="P274" s="2112">
        <f t="shared" si="106"/>
        <v>4608000</v>
      </c>
      <c r="Q274" s="2140"/>
      <c r="R274" s="2140"/>
      <c r="S274" s="2141"/>
      <c r="T274" s="2142"/>
    </row>
    <row r="275" spans="1:20" ht="15" customHeight="1">
      <c r="A275" s="778"/>
      <c r="B275" s="786"/>
      <c r="C275" s="792"/>
      <c r="D275" s="786"/>
      <c r="E275" s="3637" t="s">
        <v>3122</v>
      </c>
      <c r="F275" s="3638"/>
      <c r="G275" s="3638"/>
      <c r="H275" s="3638"/>
      <c r="I275" s="3638"/>
      <c r="J275" s="3638"/>
      <c r="K275" s="3638"/>
      <c r="L275" s="3638"/>
      <c r="M275" s="3638"/>
      <c r="N275" s="3638"/>
      <c r="O275" s="3638"/>
      <c r="P275" s="3639"/>
      <c r="Q275" s="645">
        <f>P276</f>
        <v>11400000</v>
      </c>
      <c r="R275" s="645">
        <v>0</v>
      </c>
      <c r="S275" s="646">
        <f>Q275-R275</f>
        <v>11400000</v>
      </c>
      <c r="T275" s="647"/>
    </row>
    <row r="276" spans="1:20" ht="15" customHeight="1">
      <c r="A276" s="778"/>
      <c r="B276" s="786"/>
      <c r="C276" s="792"/>
      <c r="D276" s="786"/>
      <c r="E276" s="3353"/>
      <c r="F276" s="2002" t="s">
        <v>1739</v>
      </c>
      <c r="G276" s="1004"/>
      <c r="H276" s="992"/>
      <c r="I276" s="992"/>
      <c r="J276" s="992"/>
      <c r="K276" s="992"/>
      <c r="L276" s="2003"/>
      <c r="M276" s="992"/>
      <c r="N276" s="1022"/>
      <c r="O276" s="1022"/>
      <c r="P276" s="994">
        <f>SUM(P277:P278)</f>
        <v>11400000</v>
      </c>
      <c r="Q276" s="1018">
        <f>P276</f>
        <v>11400000</v>
      </c>
      <c r="R276" s="2004">
        <v>0</v>
      </c>
      <c r="S276" s="2005">
        <f t="shared" ref="S276" si="108">Q276-R276</f>
        <v>11400000</v>
      </c>
      <c r="T276" s="2006"/>
    </row>
    <row r="277" spans="1:20" ht="15" customHeight="1">
      <c r="A277" s="778"/>
      <c r="B277" s="786"/>
      <c r="C277" s="792"/>
      <c r="D277" s="786"/>
      <c r="E277" s="3353"/>
      <c r="F277" s="1522" t="s">
        <v>1740</v>
      </c>
      <c r="G277" s="1516">
        <v>70000</v>
      </c>
      <c r="H277" s="1523" t="s">
        <v>1741</v>
      </c>
      <c r="I277" s="2008">
        <v>12</v>
      </c>
      <c r="J277" s="1523" t="s">
        <v>21</v>
      </c>
      <c r="K277" s="1524">
        <v>12</v>
      </c>
      <c r="L277" s="1525"/>
      <c r="M277" s="1524"/>
      <c r="N277" s="1526"/>
      <c r="O277" s="1526" t="s">
        <v>1695</v>
      </c>
      <c r="P277" s="2065">
        <f t="shared" ref="P277:P278" si="109">PRODUCT(G277:N277)</f>
        <v>10080000</v>
      </c>
      <c r="Q277" s="2143"/>
      <c r="R277" s="2143"/>
      <c r="S277" s="2144"/>
      <c r="T277" s="2145"/>
    </row>
    <row r="278" spans="1:20" ht="15" customHeight="1">
      <c r="A278" s="778"/>
      <c r="B278" s="786"/>
      <c r="C278" s="792"/>
      <c r="D278" s="786"/>
      <c r="E278" s="3353"/>
      <c r="F278" s="1528" t="s">
        <v>216</v>
      </c>
      <c r="G278" s="2007">
        <v>40000</v>
      </c>
      <c r="H278" s="1523" t="s">
        <v>1741</v>
      </c>
      <c r="I278" s="2008">
        <v>3</v>
      </c>
      <c r="J278" s="1523" t="s">
        <v>21</v>
      </c>
      <c r="K278" s="2009">
        <v>11</v>
      </c>
      <c r="L278" s="1525"/>
      <c r="M278" s="1524"/>
      <c r="N278" s="1526"/>
      <c r="O278" s="1526" t="s">
        <v>1637</v>
      </c>
      <c r="P278" s="2065">
        <f t="shared" si="109"/>
        <v>1320000</v>
      </c>
      <c r="Q278" s="2146"/>
      <c r="R278" s="2146"/>
      <c r="S278" s="2147"/>
      <c r="T278" s="2148"/>
    </row>
    <row r="279" spans="1:20" ht="15" customHeight="1">
      <c r="A279" s="778"/>
      <c r="B279" s="786"/>
      <c r="C279" s="792"/>
      <c r="D279" s="786"/>
      <c r="E279" s="3637" t="s">
        <v>3123</v>
      </c>
      <c r="F279" s="3638"/>
      <c r="G279" s="3638"/>
      <c r="H279" s="3638"/>
      <c r="I279" s="3638"/>
      <c r="J279" s="3638"/>
      <c r="K279" s="3638"/>
      <c r="L279" s="3638"/>
      <c r="M279" s="3638"/>
      <c r="N279" s="3638"/>
      <c r="O279" s="3638"/>
      <c r="P279" s="3639"/>
      <c r="Q279" s="645">
        <f>P280</f>
        <v>1200000</v>
      </c>
      <c r="R279" s="645">
        <v>512000</v>
      </c>
      <c r="S279" s="646">
        <f>Q279-R279</f>
        <v>688000</v>
      </c>
      <c r="T279" s="647">
        <f t="shared" ref="T279:T280" si="110">S279/R279</f>
        <v>1.34375</v>
      </c>
    </row>
    <row r="280" spans="1:20" ht="15" customHeight="1">
      <c r="A280" s="778"/>
      <c r="B280" s="786"/>
      <c r="C280" s="792"/>
      <c r="D280" s="786"/>
      <c r="F280" s="2002" t="s">
        <v>217</v>
      </c>
      <c r="G280" s="1004"/>
      <c r="H280" s="992"/>
      <c r="I280" s="992"/>
      <c r="J280" s="992"/>
      <c r="K280" s="992"/>
      <c r="L280" s="2003"/>
      <c r="M280" s="992"/>
      <c r="N280" s="1022"/>
      <c r="O280" s="1022"/>
      <c r="P280" s="994">
        <f>SUM(P281:P282)</f>
        <v>1200000</v>
      </c>
      <c r="Q280" s="1018">
        <f>P280</f>
        <v>1200000</v>
      </c>
      <c r="R280" s="2004">
        <v>512000</v>
      </c>
      <c r="S280" s="2005">
        <f t="shared" ref="S280" si="111">Q280-R280</f>
        <v>688000</v>
      </c>
      <c r="T280" s="2006">
        <f t="shared" si="110"/>
        <v>1.34375</v>
      </c>
    </row>
    <row r="281" spans="1:20" ht="15" customHeight="1">
      <c r="A281" s="778"/>
      <c r="B281" s="786"/>
      <c r="C281" s="792"/>
      <c r="D281" s="786"/>
      <c r="E281" s="3282"/>
      <c r="F281" s="1522" t="s">
        <v>1742</v>
      </c>
      <c r="G281" s="1516">
        <v>283750</v>
      </c>
      <c r="H281" s="1523" t="s">
        <v>125</v>
      </c>
      <c r="I281" s="2020">
        <v>4</v>
      </c>
      <c r="J281" s="1523"/>
      <c r="K281" s="1524"/>
      <c r="L281" s="1525"/>
      <c r="M281" s="1524"/>
      <c r="N281" s="1526"/>
      <c r="O281" s="1526" t="s">
        <v>122</v>
      </c>
      <c r="P281" s="2065">
        <f t="shared" ref="P281:P282" si="112">PRODUCT(G281:N281)</f>
        <v>1135000</v>
      </c>
      <c r="Q281" s="806"/>
      <c r="R281" s="2021"/>
      <c r="S281" s="2022"/>
      <c r="T281" s="2023"/>
    </row>
    <row r="282" spans="1:20" ht="15" customHeight="1">
      <c r="A282" s="778"/>
      <c r="B282" s="786"/>
      <c r="C282" s="792"/>
      <c r="D282" s="786"/>
      <c r="E282" s="3282"/>
      <c r="F282" s="1522" t="s">
        <v>1759</v>
      </c>
      <c r="G282" s="1516">
        <v>65000</v>
      </c>
      <c r="H282" s="1523" t="s">
        <v>125</v>
      </c>
      <c r="I282" s="2020">
        <v>1</v>
      </c>
      <c r="J282" s="1523"/>
      <c r="K282" s="1524"/>
      <c r="L282" s="1525"/>
      <c r="M282" s="1524"/>
      <c r="N282" s="1526"/>
      <c r="O282" s="1526" t="s">
        <v>122</v>
      </c>
      <c r="P282" s="2065">
        <f t="shared" si="112"/>
        <v>65000</v>
      </c>
      <c r="Q282" s="806"/>
      <c r="R282" s="2021"/>
      <c r="S282" s="2022"/>
      <c r="T282" s="2023"/>
    </row>
    <row r="283" spans="1:20" ht="15" customHeight="1">
      <c r="A283" s="778"/>
      <c r="B283" s="786"/>
      <c r="C283" s="792"/>
      <c r="D283" s="786"/>
      <c r="E283" s="3637" t="s">
        <v>76</v>
      </c>
      <c r="F283" s="3638"/>
      <c r="G283" s="3638"/>
      <c r="H283" s="3638"/>
      <c r="I283" s="3638"/>
      <c r="J283" s="3638"/>
      <c r="K283" s="3638"/>
      <c r="L283" s="3638"/>
      <c r="M283" s="3638"/>
      <c r="N283" s="3638"/>
      <c r="O283" s="3638"/>
      <c r="P283" s="3639"/>
      <c r="Q283" s="645">
        <f>P284+P286</f>
        <v>2800000</v>
      </c>
      <c r="R283" s="645">
        <v>0</v>
      </c>
      <c r="S283" s="646">
        <f>Q283-R283</f>
        <v>2800000</v>
      </c>
      <c r="T283" s="647"/>
    </row>
    <row r="284" spans="1:20" ht="15" customHeight="1">
      <c r="A284" s="778"/>
      <c r="B284" s="786"/>
      <c r="C284" s="792"/>
      <c r="D284" s="786"/>
      <c r="E284" s="3354"/>
      <c r="F284" s="2002" t="s">
        <v>1743</v>
      </c>
      <c r="G284" s="1004"/>
      <c r="H284" s="992"/>
      <c r="I284" s="992"/>
      <c r="J284" s="992"/>
      <c r="K284" s="992"/>
      <c r="L284" s="2003"/>
      <c r="M284" s="992"/>
      <c r="N284" s="1022"/>
      <c r="O284" s="1022"/>
      <c r="P284" s="994">
        <f>SUM(P285:P285)</f>
        <v>2400000</v>
      </c>
      <c r="Q284" s="1018">
        <f>P284</f>
        <v>2400000</v>
      </c>
      <c r="R284" s="2004">
        <v>0</v>
      </c>
      <c r="S284" s="2005">
        <f t="shared" ref="S284" si="113">Q284-R284</f>
        <v>2400000</v>
      </c>
      <c r="T284" s="2006"/>
    </row>
    <row r="285" spans="1:20" ht="15" customHeight="1">
      <c r="A285" s="778"/>
      <c r="B285" s="786"/>
      <c r="C285" s="792"/>
      <c r="D285" s="786"/>
      <c r="E285" s="3355"/>
      <c r="F285" s="1522" t="s">
        <v>1744</v>
      </c>
      <c r="G285" s="1516">
        <v>200000</v>
      </c>
      <c r="H285" s="1523" t="s">
        <v>1634</v>
      </c>
      <c r="I285" s="1524">
        <v>12</v>
      </c>
      <c r="J285" s="1523"/>
      <c r="K285" s="1524"/>
      <c r="L285" s="1525"/>
      <c r="M285" s="1524"/>
      <c r="N285" s="1526"/>
      <c r="O285" s="1526" t="s">
        <v>122</v>
      </c>
      <c r="P285" s="2065">
        <f t="shared" ref="P285" si="114">PRODUCT(G285:N285)</f>
        <v>2400000</v>
      </c>
      <c r="Q285" s="2016"/>
      <c r="R285" s="2016"/>
      <c r="S285" s="2149"/>
      <c r="T285" s="2150"/>
    </row>
    <row r="286" spans="1:20" ht="15" customHeight="1">
      <c r="A286" s="778"/>
      <c r="B286" s="786"/>
      <c r="C286" s="792"/>
      <c r="D286" s="786"/>
      <c r="E286" s="3354"/>
      <c r="F286" s="2002" t="s">
        <v>1745</v>
      </c>
      <c r="G286" s="1004"/>
      <c r="H286" s="992"/>
      <c r="I286" s="992"/>
      <c r="J286" s="992"/>
      <c r="K286" s="992"/>
      <c r="L286" s="2003"/>
      <c r="M286" s="992"/>
      <c r="N286" s="1022"/>
      <c r="O286" s="1022"/>
      <c r="P286" s="994">
        <f>SUM(P287:P287)</f>
        <v>400000</v>
      </c>
      <c r="Q286" s="1018">
        <f>P286</f>
        <v>400000</v>
      </c>
      <c r="R286" s="2004">
        <v>0</v>
      </c>
      <c r="S286" s="2005">
        <f t="shared" ref="S286" si="115">Q286-R286</f>
        <v>400000</v>
      </c>
      <c r="T286" s="2006"/>
    </row>
    <row r="287" spans="1:20" ht="15" customHeight="1">
      <c r="A287" s="778"/>
      <c r="B287" s="786"/>
      <c r="C287" s="792"/>
      <c r="D287" s="786"/>
      <c r="E287" s="3355"/>
      <c r="F287" s="1522" t="s">
        <v>1746</v>
      </c>
      <c r="G287" s="1516">
        <v>100000</v>
      </c>
      <c r="H287" s="1523" t="s">
        <v>1634</v>
      </c>
      <c r="I287" s="2020">
        <v>4</v>
      </c>
      <c r="J287" s="1523"/>
      <c r="K287" s="1524"/>
      <c r="L287" s="1525"/>
      <c r="M287" s="1524"/>
      <c r="N287" s="1526"/>
      <c r="O287" s="1526" t="s">
        <v>122</v>
      </c>
      <c r="P287" s="2065">
        <f t="shared" ref="P287" si="116">PRODUCT(G287:N287)</f>
        <v>400000</v>
      </c>
      <c r="Q287" s="2016"/>
      <c r="R287" s="2016"/>
      <c r="S287" s="2149"/>
      <c r="T287" s="2150"/>
    </row>
    <row r="288" spans="1:20" ht="15" customHeight="1">
      <c r="A288" s="778"/>
      <c r="B288" s="786"/>
      <c r="C288" s="792"/>
      <c r="D288" s="786"/>
      <c r="E288" s="3637" t="s">
        <v>218</v>
      </c>
      <c r="F288" s="3638"/>
      <c r="G288" s="3638"/>
      <c r="H288" s="3638"/>
      <c r="I288" s="3638"/>
      <c r="J288" s="3638"/>
      <c r="K288" s="3638"/>
      <c r="L288" s="3638"/>
      <c r="M288" s="3638"/>
      <c r="N288" s="3638"/>
      <c r="O288" s="3638"/>
      <c r="P288" s="3639"/>
      <c r="Q288" s="645">
        <f>P289</f>
        <v>400000</v>
      </c>
      <c r="R288" s="645">
        <v>0</v>
      </c>
      <c r="S288" s="646">
        <f>Q288-R288</f>
        <v>400000</v>
      </c>
      <c r="T288" s="647"/>
    </row>
    <row r="289" spans="1:24" ht="15" customHeight="1">
      <c r="A289" s="778"/>
      <c r="B289" s="786"/>
      <c r="C289" s="792"/>
      <c r="D289" s="786"/>
      <c r="F289" s="2002" t="s">
        <v>219</v>
      </c>
      <c r="G289" s="1004"/>
      <c r="H289" s="992"/>
      <c r="I289" s="992"/>
      <c r="J289" s="992"/>
      <c r="K289" s="992"/>
      <c r="L289" s="2003"/>
      <c r="M289" s="992"/>
      <c r="N289" s="1022"/>
      <c r="O289" s="1022"/>
      <c r="P289" s="994">
        <f>SUM(P290:P290)</f>
        <v>400000</v>
      </c>
      <c r="Q289" s="1018">
        <f>P289</f>
        <v>400000</v>
      </c>
      <c r="R289" s="2004">
        <v>0</v>
      </c>
      <c r="S289" s="2005">
        <f t="shared" ref="S289" si="117">Q289-R289</f>
        <v>400000</v>
      </c>
      <c r="T289" s="2006"/>
    </row>
    <row r="290" spans="1:24" ht="15" customHeight="1">
      <c r="A290" s="778"/>
      <c r="B290" s="786"/>
      <c r="C290" s="792"/>
      <c r="D290" s="786"/>
      <c r="E290" s="3282"/>
      <c r="F290" s="1522" t="s">
        <v>1747</v>
      </c>
      <c r="G290" s="1516">
        <v>80000</v>
      </c>
      <c r="H290" s="1523" t="s">
        <v>1748</v>
      </c>
      <c r="I290" s="2008">
        <v>5</v>
      </c>
      <c r="J290" s="1523"/>
      <c r="K290" s="1524"/>
      <c r="L290" s="1525"/>
      <c r="M290" s="1524"/>
      <c r="N290" s="1526"/>
      <c r="O290" s="1526" t="s">
        <v>1749</v>
      </c>
      <c r="P290" s="2065">
        <f t="shared" ref="P290" si="118">PRODUCT(G290:N290)</f>
        <v>400000</v>
      </c>
      <c r="Q290" s="2016"/>
      <c r="R290" s="2016"/>
      <c r="S290" s="2149"/>
      <c r="T290" s="2150"/>
    </row>
    <row r="291" spans="1:24" ht="15" customHeight="1">
      <c r="A291" s="1130"/>
      <c r="B291" s="846"/>
      <c r="C291" s="780"/>
      <c r="D291" s="846"/>
      <c r="E291" s="3637" t="s">
        <v>191</v>
      </c>
      <c r="F291" s="3638"/>
      <c r="G291" s="3638"/>
      <c r="H291" s="3638"/>
      <c r="I291" s="3638"/>
      <c r="J291" s="3638"/>
      <c r="K291" s="3638"/>
      <c r="L291" s="3638"/>
      <c r="M291" s="3638"/>
      <c r="N291" s="3638"/>
      <c r="O291" s="3638"/>
      <c r="P291" s="3639"/>
      <c r="Q291" s="645">
        <f>P292</f>
        <v>6400000</v>
      </c>
      <c r="R291" s="645">
        <v>4280000</v>
      </c>
      <c r="S291" s="646">
        <f>Q291-R291</f>
        <v>2120000</v>
      </c>
      <c r="T291" s="647">
        <f t="shared" ref="T291:T292" si="119">S291/R291</f>
        <v>0.49532710280373832</v>
      </c>
    </row>
    <row r="292" spans="1:24" ht="15" customHeight="1">
      <c r="A292" s="778"/>
      <c r="B292" s="786"/>
      <c r="C292" s="792"/>
      <c r="D292" s="786"/>
      <c r="E292" s="786"/>
      <c r="F292" s="2002" t="s">
        <v>192</v>
      </c>
      <c r="G292" s="1004"/>
      <c r="H292" s="992"/>
      <c r="I292" s="992"/>
      <c r="J292" s="992"/>
      <c r="K292" s="992"/>
      <c r="L292" s="2003"/>
      <c r="M292" s="992"/>
      <c r="N292" s="1022"/>
      <c r="O292" s="1022"/>
      <c r="P292" s="994">
        <f>SUM(P293:P295)</f>
        <v>6400000</v>
      </c>
      <c r="Q292" s="1018">
        <f>P292</f>
        <v>6400000</v>
      </c>
      <c r="R292" s="2004">
        <v>4280000</v>
      </c>
      <c r="S292" s="2005">
        <f t="shared" ref="S292" si="120">Q292-R292</f>
        <v>2120000</v>
      </c>
      <c r="T292" s="2006">
        <f t="shared" si="119"/>
        <v>0.49532710280373832</v>
      </c>
    </row>
    <row r="293" spans="1:24" ht="15" customHeight="1">
      <c r="A293" s="778"/>
      <c r="B293" s="786"/>
      <c r="C293" s="792"/>
      <c r="D293" s="786"/>
      <c r="F293" s="1522" t="s">
        <v>220</v>
      </c>
      <c r="G293" s="2035">
        <v>150000</v>
      </c>
      <c r="H293" s="996" t="s">
        <v>125</v>
      </c>
      <c r="I293" s="2151">
        <v>4</v>
      </c>
      <c r="J293" s="996"/>
      <c r="K293" s="1000"/>
      <c r="L293" s="2036"/>
      <c r="M293" s="1000"/>
      <c r="N293" s="1001"/>
      <c r="O293" s="1001" t="s">
        <v>122</v>
      </c>
      <c r="P293" s="2065">
        <f t="shared" ref="P293" si="121">PRODUCT(G293:N293)</f>
        <v>600000</v>
      </c>
      <c r="Q293" s="806"/>
      <c r="R293" s="2021"/>
      <c r="S293" s="2022"/>
      <c r="T293" s="2023"/>
    </row>
    <row r="294" spans="1:24" ht="15" customHeight="1">
      <c r="A294" s="778"/>
      <c r="B294" s="786"/>
      <c r="C294" s="792"/>
      <c r="D294" s="786"/>
      <c r="E294" s="3282"/>
      <c r="F294" s="1522" t="s">
        <v>1750</v>
      </c>
      <c r="G294" s="1516">
        <v>900000</v>
      </c>
      <c r="H294" s="1523" t="s">
        <v>1636</v>
      </c>
      <c r="I294" s="2020">
        <v>2</v>
      </c>
      <c r="J294" s="1523"/>
      <c r="K294" s="1524"/>
      <c r="L294" s="1525"/>
      <c r="M294" s="1524"/>
      <c r="N294" s="1526"/>
      <c r="O294" s="1526" t="s">
        <v>122</v>
      </c>
      <c r="P294" s="1527">
        <f>ROUNDUP(G294*I294,-3)</f>
        <v>1800000</v>
      </c>
      <c r="Q294" s="806"/>
      <c r="R294" s="2021"/>
      <c r="S294" s="2022"/>
      <c r="T294" s="2023"/>
    </row>
    <row r="295" spans="1:24" ht="15" customHeight="1">
      <c r="A295" s="778"/>
      <c r="B295" s="786"/>
      <c r="C295" s="792"/>
      <c r="D295" s="786"/>
      <c r="E295" s="3283"/>
      <c r="F295" s="1528" t="s">
        <v>1751</v>
      </c>
      <c r="G295" s="997">
        <v>2000000</v>
      </c>
      <c r="H295" s="996" t="s">
        <v>125</v>
      </c>
      <c r="I295" s="2151">
        <v>2</v>
      </c>
      <c r="J295" s="996"/>
      <c r="K295" s="1000"/>
      <c r="L295" s="2036"/>
      <c r="M295" s="1000"/>
      <c r="N295" s="1001"/>
      <c r="O295" s="1001" t="s">
        <v>122</v>
      </c>
      <c r="P295" s="2037">
        <f>ROUNDUP(G295*I295,-3)</f>
        <v>4000000</v>
      </c>
      <c r="Q295" s="806"/>
      <c r="R295" s="2021"/>
      <c r="S295" s="2022"/>
      <c r="T295" s="2023"/>
    </row>
    <row r="296" spans="1:24" ht="15" customHeight="1">
      <c r="A296" s="778"/>
      <c r="B296" s="786"/>
      <c r="C296" s="792"/>
      <c r="D296" s="786"/>
      <c r="E296" s="3637" t="s">
        <v>3124</v>
      </c>
      <c r="F296" s="3638"/>
      <c r="G296" s="3638"/>
      <c r="H296" s="3638"/>
      <c r="I296" s="3638"/>
      <c r="J296" s="3638"/>
      <c r="K296" s="3638"/>
      <c r="L296" s="3638"/>
      <c r="M296" s="3638"/>
      <c r="N296" s="3638"/>
      <c r="O296" s="3638"/>
      <c r="P296" s="3639"/>
      <c r="Q296" s="645">
        <f>P297</f>
        <v>1200000</v>
      </c>
      <c r="R296" s="645">
        <v>3500000</v>
      </c>
      <c r="S296" s="646">
        <f>Q296-R296</f>
        <v>-2300000</v>
      </c>
      <c r="T296" s="647">
        <f t="shared" ref="T296:T297" si="122">S296/R296</f>
        <v>-0.65714285714285714</v>
      </c>
    </row>
    <row r="297" spans="1:24" ht="15" customHeight="1">
      <c r="A297" s="778"/>
      <c r="B297" s="786"/>
      <c r="C297" s="792"/>
      <c r="D297" s="786"/>
      <c r="E297" s="3282"/>
      <c r="F297" s="2002" t="s">
        <v>1755</v>
      </c>
      <c r="G297" s="1004"/>
      <c r="H297" s="992"/>
      <c r="I297" s="992"/>
      <c r="J297" s="992"/>
      <c r="K297" s="992"/>
      <c r="L297" s="2003"/>
      <c r="M297" s="992"/>
      <c r="N297" s="1022"/>
      <c r="O297" s="1022"/>
      <c r="P297" s="994">
        <f>P298</f>
        <v>1200000</v>
      </c>
      <c r="Q297" s="1018">
        <f>P297</f>
        <v>1200000</v>
      </c>
      <c r="R297" s="2004">
        <v>3500000</v>
      </c>
      <c r="S297" s="2005">
        <f t="shared" ref="S297" si="123">Q297-R297</f>
        <v>-2300000</v>
      </c>
      <c r="T297" s="2006">
        <f t="shared" si="122"/>
        <v>-0.65714285714285714</v>
      </c>
    </row>
    <row r="298" spans="1:24" ht="15" customHeight="1">
      <c r="A298" s="778"/>
      <c r="B298" s="786"/>
      <c r="C298" s="792"/>
      <c r="D298" s="786"/>
      <c r="E298" s="3317"/>
      <c r="F298" s="2024" t="s">
        <v>731</v>
      </c>
      <c r="G298" s="2152">
        <v>50000</v>
      </c>
      <c r="H298" s="2153" t="s">
        <v>1752</v>
      </c>
      <c r="I298" s="2154">
        <v>2</v>
      </c>
      <c r="J298" s="2153" t="s">
        <v>1752</v>
      </c>
      <c r="K298" s="2155">
        <v>12</v>
      </c>
      <c r="L298" s="2156"/>
      <c r="M298" s="2155"/>
      <c r="N298" s="2157"/>
      <c r="O298" s="2157" t="s">
        <v>1753</v>
      </c>
      <c r="P298" s="2158">
        <f>ROUNDUP(G298*I298*K298,-3)</f>
        <v>1200000</v>
      </c>
      <c r="Q298" s="828"/>
      <c r="R298" s="2030"/>
      <c r="S298" s="2031"/>
      <c r="T298" s="2023"/>
    </row>
    <row r="299" spans="1:24" ht="15" customHeight="1">
      <c r="A299" s="778"/>
      <c r="B299" s="786"/>
      <c r="C299" s="792"/>
      <c r="D299" s="786"/>
      <c r="E299" s="3637" t="s">
        <v>3125</v>
      </c>
      <c r="F299" s="3638"/>
      <c r="G299" s="3638"/>
      <c r="H299" s="3638"/>
      <c r="I299" s="3638"/>
      <c r="J299" s="3638"/>
      <c r="K299" s="3638"/>
      <c r="L299" s="3638"/>
      <c r="M299" s="3638"/>
      <c r="N299" s="3638"/>
      <c r="O299" s="3638"/>
      <c r="P299" s="3639"/>
      <c r="Q299" s="1049">
        <f>P300+P302</f>
        <v>3060000</v>
      </c>
      <c r="R299" s="1049">
        <v>1960000</v>
      </c>
      <c r="S299" s="1050">
        <f>Q299-R299</f>
        <v>1100000</v>
      </c>
      <c r="T299" s="647">
        <f t="shared" ref="T299:T300" si="124">S299/R299</f>
        <v>0.56122448979591832</v>
      </c>
    </row>
    <row r="300" spans="1:24" ht="15" customHeight="1">
      <c r="A300" s="778"/>
      <c r="B300" s="786"/>
      <c r="C300" s="792"/>
      <c r="D300" s="786"/>
      <c r="F300" s="2002" t="s">
        <v>106</v>
      </c>
      <c r="G300" s="1004"/>
      <c r="H300" s="992"/>
      <c r="I300" s="992"/>
      <c r="J300" s="992"/>
      <c r="K300" s="992"/>
      <c r="L300" s="2003"/>
      <c r="M300" s="992"/>
      <c r="N300" s="1022"/>
      <c r="O300" s="1022"/>
      <c r="P300" s="994">
        <f>SUM(P301:P301)</f>
        <v>2100000</v>
      </c>
      <c r="Q300" s="1018">
        <f>P300</f>
        <v>2100000</v>
      </c>
      <c r="R300" s="2004">
        <v>1000000</v>
      </c>
      <c r="S300" s="2005">
        <f t="shared" ref="S300" si="125">Q300-R300</f>
        <v>1100000</v>
      </c>
      <c r="T300" s="2006">
        <f t="shared" si="124"/>
        <v>1.1000000000000001</v>
      </c>
    </row>
    <row r="301" spans="1:24" ht="15" customHeight="1">
      <c r="A301" s="778"/>
      <c r="B301" s="786"/>
      <c r="C301" s="792"/>
      <c r="D301" s="786"/>
      <c r="E301" s="3282"/>
      <c r="F301" s="1522" t="s">
        <v>2344</v>
      </c>
      <c r="G301" s="2035">
        <v>175000</v>
      </c>
      <c r="H301" s="996" t="s">
        <v>2345</v>
      </c>
      <c r="I301" s="1000">
        <v>12</v>
      </c>
      <c r="J301" s="996"/>
      <c r="K301" s="1000"/>
      <c r="L301" s="2036"/>
      <c r="M301" s="1000"/>
      <c r="N301" s="1001"/>
      <c r="O301" s="1001" t="s">
        <v>122</v>
      </c>
      <c r="P301" s="2037">
        <f>G301*I301</f>
        <v>2100000</v>
      </c>
      <c r="Q301" s="806"/>
      <c r="R301" s="2021"/>
      <c r="S301" s="2022"/>
      <c r="T301" s="2023"/>
    </row>
    <row r="302" spans="1:24" ht="15" customHeight="1">
      <c r="A302" s="778"/>
      <c r="B302" s="786"/>
      <c r="C302" s="792"/>
      <c r="D302" s="786"/>
      <c r="E302" s="3282"/>
      <c r="F302" s="2002" t="s">
        <v>1754</v>
      </c>
      <c r="G302" s="1004"/>
      <c r="H302" s="992"/>
      <c r="I302" s="992"/>
      <c r="J302" s="992"/>
      <c r="K302" s="992"/>
      <c r="L302" s="2003"/>
      <c r="M302" s="992"/>
      <c r="N302" s="1022"/>
      <c r="O302" s="1022"/>
      <c r="P302" s="994">
        <f>P303</f>
        <v>960000</v>
      </c>
      <c r="Q302" s="1018">
        <f>P302</f>
        <v>960000</v>
      </c>
      <c r="R302" s="2004">
        <v>960000</v>
      </c>
      <c r="S302" s="2005">
        <f t="shared" ref="S302" si="126">Q302-R302</f>
        <v>0</v>
      </c>
      <c r="T302" s="2006">
        <f t="shared" ref="T302" si="127">S302/R302</f>
        <v>0</v>
      </c>
    </row>
    <row r="303" spans="1:24" ht="15" customHeight="1">
      <c r="A303" s="778"/>
      <c r="B303" s="786"/>
      <c r="C303" s="792"/>
      <c r="D303" s="786"/>
      <c r="E303" s="3282"/>
      <c r="F303" s="1522" t="s">
        <v>108</v>
      </c>
      <c r="G303" s="997">
        <v>80000</v>
      </c>
      <c r="H303" s="996" t="s">
        <v>125</v>
      </c>
      <c r="I303" s="2133">
        <v>12</v>
      </c>
      <c r="J303" s="996"/>
      <c r="K303" s="1000"/>
      <c r="L303" s="2036"/>
      <c r="M303" s="1000"/>
      <c r="N303" s="1001"/>
      <c r="O303" s="1001" t="s">
        <v>122</v>
      </c>
      <c r="P303" s="2159">
        <f>G303*I303</f>
        <v>960000</v>
      </c>
      <c r="Q303" s="806"/>
      <c r="R303" s="2021"/>
      <c r="S303" s="2022"/>
      <c r="T303" s="2023"/>
      <c r="X303" s="128" t="s">
        <v>2318</v>
      </c>
    </row>
    <row r="304" spans="1:24" ht="15" customHeight="1">
      <c r="A304" s="778"/>
      <c r="B304" s="786"/>
      <c r="C304" s="792"/>
      <c r="D304" s="786"/>
      <c r="E304" s="3637" t="s">
        <v>252</v>
      </c>
      <c r="F304" s="3638"/>
      <c r="G304" s="3638"/>
      <c r="H304" s="3638"/>
      <c r="I304" s="3638"/>
      <c r="J304" s="3638"/>
      <c r="K304" s="3638"/>
      <c r="L304" s="3638"/>
      <c r="M304" s="3638"/>
      <c r="N304" s="3638"/>
      <c r="O304" s="3638"/>
      <c r="P304" s="3639"/>
      <c r="Q304" s="645">
        <f>P305+P307</f>
        <v>4740000</v>
      </c>
      <c r="R304" s="645">
        <v>0</v>
      </c>
      <c r="S304" s="646">
        <f>Q304-R304</f>
        <v>4740000</v>
      </c>
      <c r="T304" s="647"/>
    </row>
    <row r="305" spans="1:20" ht="15" customHeight="1">
      <c r="A305" s="778"/>
      <c r="B305" s="786"/>
      <c r="C305" s="792"/>
      <c r="D305" s="786"/>
      <c r="E305" s="3354"/>
      <c r="F305" s="2002" t="s">
        <v>1756</v>
      </c>
      <c r="G305" s="1004"/>
      <c r="H305" s="992"/>
      <c r="I305" s="992"/>
      <c r="J305" s="992"/>
      <c r="K305" s="992"/>
      <c r="L305" s="2003"/>
      <c r="M305" s="992"/>
      <c r="N305" s="1022"/>
      <c r="O305" s="1022"/>
      <c r="P305" s="994">
        <f>SUM(P306:P306)</f>
        <v>3600000</v>
      </c>
      <c r="Q305" s="1018">
        <f>P305</f>
        <v>3600000</v>
      </c>
      <c r="R305" s="2004">
        <v>0</v>
      </c>
      <c r="S305" s="2005">
        <f t="shared" ref="S305" si="128">Q305-R305</f>
        <v>3600000</v>
      </c>
      <c r="T305" s="2006"/>
    </row>
    <row r="306" spans="1:20" ht="15" customHeight="1">
      <c r="A306" s="778"/>
      <c r="B306" s="786"/>
      <c r="C306" s="792"/>
      <c r="D306" s="786"/>
      <c r="E306" s="3355"/>
      <c r="F306" s="1522" t="s">
        <v>1757</v>
      </c>
      <c r="G306" s="1516">
        <v>300000</v>
      </c>
      <c r="H306" s="1523" t="s">
        <v>125</v>
      </c>
      <c r="I306" s="2008">
        <v>12</v>
      </c>
      <c r="J306" s="1523"/>
      <c r="K306" s="1524"/>
      <c r="L306" s="1525"/>
      <c r="M306" s="1524"/>
      <c r="N306" s="1526"/>
      <c r="O306" s="1526" t="s">
        <v>122</v>
      </c>
      <c r="P306" s="2065">
        <f t="shared" ref="P306" si="129">PRODUCT(G306:N306)</f>
        <v>3600000</v>
      </c>
      <c r="Q306" s="2016"/>
      <c r="R306" s="2017"/>
      <c r="S306" s="2018"/>
      <c r="T306" s="2019"/>
    </row>
    <row r="307" spans="1:20" ht="15" customHeight="1">
      <c r="A307" s="778"/>
      <c r="B307" s="786"/>
      <c r="C307" s="792"/>
      <c r="D307" s="786"/>
      <c r="E307" s="3354"/>
      <c r="F307" s="2002" t="s">
        <v>1758</v>
      </c>
      <c r="G307" s="1004"/>
      <c r="H307" s="992"/>
      <c r="I307" s="992"/>
      <c r="J307" s="992"/>
      <c r="K307" s="992"/>
      <c r="L307" s="2003"/>
      <c r="M307" s="992"/>
      <c r="N307" s="1022"/>
      <c r="O307" s="1022"/>
      <c r="P307" s="994">
        <f>SUM(P308:P311)</f>
        <v>1140000</v>
      </c>
      <c r="Q307" s="1018">
        <f>P307</f>
        <v>1140000</v>
      </c>
      <c r="R307" s="2004">
        <v>0</v>
      </c>
      <c r="S307" s="2005">
        <f t="shared" ref="S307" si="130">Q307-R307</f>
        <v>1140000</v>
      </c>
      <c r="T307" s="2006"/>
    </row>
    <row r="308" spans="1:20" ht="15" customHeight="1">
      <c r="A308" s="778"/>
      <c r="B308" s="786"/>
      <c r="C308" s="792"/>
      <c r="D308" s="786"/>
      <c r="E308" s="3355"/>
      <c r="F308" s="2160" t="s">
        <v>2921</v>
      </c>
      <c r="G308" s="2161">
        <v>346000</v>
      </c>
      <c r="H308" s="1094" t="s">
        <v>51</v>
      </c>
      <c r="I308" s="2162">
        <v>1</v>
      </c>
      <c r="J308" s="1094"/>
      <c r="K308" s="2163"/>
      <c r="L308" s="2164"/>
      <c r="M308" s="2163"/>
      <c r="N308" s="2165"/>
      <c r="O308" s="2165" t="s">
        <v>206</v>
      </c>
      <c r="P308" s="2166">
        <f>ROUNDUP(G308*I308,-3)</f>
        <v>346000</v>
      </c>
      <c r="Q308" s="2143"/>
      <c r="R308" s="2167"/>
      <c r="S308" s="2168"/>
      <c r="T308" s="2169"/>
    </row>
    <row r="309" spans="1:20" ht="15" customHeight="1">
      <c r="A309" s="778"/>
      <c r="B309" s="786"/>
      <c r="C309" s="792"/>
      <c r="D309" s="786"/>
      <c r="E309" s="3355"/>
      <c r="F309" s="2160" t="s">
        <v>2922</v>
      </c>
      <c r="G309" s="2161">
        <v>350000</v>
      </c>
      <c r="H309" s="1094" t="s">
        <v>51</v>
      </c>
      <c r="I309" s="2162">
        <v>1</v>
      </c>
      <c r="J309" s="1094"/>
      <c r="K309" s="2163"/>
      <c r="L309" s="2164"/>
      <c r="M309" s="2163"/>
      <c r="N309" s="2165"/>
      <c r="O309" s="2165" t="s">
        <v>2923</v>
      </c>
      <c r="P309" s="2166">
        <f>ROUNDUP(G309*I309,-3)</f>
        <v>350000</v>
      </c>
      <c r="Q309" s="2143"/>
      <c r="R309" s="2167"/>
      <c r="S309" s="2168"/>
      <c r="T309" s="2169"/>
    </row>
    <row r="310" spans="1:20" ht="15" customHeight="1">
      <c r="A310" s="778"/>
      <c r="B310" s="786"/>
      <c r="C310" s="792"/>
      <c r="D310" s="786"/>
      <c r="E310" s="3355"/>
      <c r="F310" s="2160" t="s">
        <v>2924</v>
      </c>
      <c r="G310" s="2161">
        <v>7000</v>
      </c>
      <c r="H310" s="1094" t="s">
        <v>51</v>
      </c>
      <c r="I310" s="2170">
        <v>12</v>
      </c>
      <c r="J310" s="1094" t="s">
        <v>51</v>
      </c>
      <c r="K310" s="2162">
        <v>4</v>
      </c>
      <c r="L310" s="2164"/>
      <c r="M310" s="2163"/>
      <c r="N310" s="2165"/>
      <c r="O310" s="2165" t="s">
        <v>206</v>
      </c>
      <c r="P310" s="2166">
        <f>ROUNDUP(G310*I310*K310,-3)</f>
        <v>336000</v>
      </c>
      <c r="Q310" s="2143"/>
      <c r="R310" s="2167"/>
      <c r="S310" s="2168"/>
      <c r="T310" s="2169"/>
    </row>
    <row r="311" spans="1:20" ht="15" customHeight="1">
      <c r="A311" s="778"/>
      <c r="B311" s="786"/>
      <c r="C311" s="792"/>
      <c r="D311" s="786"/>
      <c r="E311" s="3355"/>
      <c r="F311" s="2171" t="s">
        <v>2925</v>
      </c>
      <c r="G311" s="2161">
        <v>3000</v>
      </c>
      <c r="H311" s="1044" t="s">
        <v>51</v>
      </c>
      <c r="I311" s="2170">
        <v>12</v>
      </c>
      <c r="J311" s="1094" t="s">
        <v>51</v>
      </c>
      <c r="K311" s="2172">
        <v>3</v>
      </c>
      <c r="L311" s="2173"/>
      <c r="M311" s="1046"/>
      <c r="N311" s="2174"/>
      <c r="O311" s="2174" t="s">
        <v>206</v>
      </c>
      <c r="P311" s="2166">
        <f>ROUNDUP(G311*I311*K311,-3)</f>
        <v>108000</v>
      </c>
      <c r="Q311" s="2146"/>
      <c r="R311" s="2175"/>
      <c r="S311" s="2176"/>
      <c r="T311" s="2169"/>
    </row>
    <row r="312" spans="1:20" s="2134" customFormat="1" ht="15" customHeight="1">
      <c r="A312" s="1092"/>
      <c r="B312" s="1093"/>
      <c r="C312" s="1094"/>
      <c r="D312" s="1095" t="s">
        <v>1760</v>
      </c>
      <c r="E312" s="3352"/>
      <c r="F312" s="2115"/>
      <c r="G312" s="2116"/>
      <c r="H312" s="2117"/>
      <c r="I312" s="2117"/>
      <c r="J312" s="2117"/>
      <c r="K312" s="2117"/>
      <c r="L312" s="2118"/>
      <c r="M312" s="2117"/>
      <c r="N312" s="2119"/>
      <c r="O312" s="2119"/>
      <c r="P312" s="2117"/>
      <c r="Q312" s="989">
        <f>Q313</f>
        <v>8700000</v>
      </c>
      <c r="R312" s="989">
        <f>R313</f>
        <v>7925000</v>
      </c>
      <c r="S312" s="2120">
        <f>Q312-R312</f>
        <v>775000</v>
      </c>
      <c r="T312" s="2121">
        <f>S312/R312</f>
        <v>9.7791798107255523E-2</v>
      </c>
    </row>
    <row r="313" spans="1:20" ht="15" customHeight="1">
      <c r="A313" s="778"/>
      <c r="B313" s="786"/>
      <c r="C313" s="792"/>
      <c r="D313" s="786"/>
      <c r="E313" s="3637" t="s">
        <v>201</v>
      </c>
      <c r="F313" s="3638"/>
      <c r="G313" s="3638"/>
      <c r="H313" s="3638"/>
      <c r="I313" s="3638"/>
      <c r="J313" s="3638"/>
      <c r="K313" s="3638"/>
      <c r="L313" s="3638"/>
      <c r="M313" s="3638"/>
      <c r="N313" s="3638"/>
      <c r="O313" s="3638"/>
      <c r="P313" s="3639"/>
      <c r="Q313" s="645">
        <f>P314</f>
        <v>8700000</v>
      </c>
      <c r="R313" s="645">
        <v>7925000</v>
      </c>
      <c r="S313" s="646">
        <f>Q313-R313</f>
        <v>775000</v>
      </c>
      <c r="T313" s="647">
        <f t="shared" ref="T313:T314" si="131">S313/R313</f>
        <v>9.7791798107255523E-2</v>
      </c>
    </row>
    <row r="314" spans="1:20" ht="15" customHeight="1">
      <c r="A314" s="778"/>
      <c r="B314" s="786"/>
      <c r="C314" s="792"/>
      <c r="D314" s="786"/>
      <c r="F314" s="2002" t="s">
        <v>202</v>
      </c>
      <c r="G314" s="1004"/>
      <c r="H314" s="992"/>
      <c r="I314" s="992"/>
      <c r="J314" s="992"/>
      <c r="K314" s="992"/>
      <c r="L314" s="2003"/>
      <c r="M314" s="992"/>
      <c r="N314" s="1022"/>
      <c r="O314" s="1022"/>
      <c r="P314" s="994">
        <f>SUM(P315:P317)</f>
        <v>8700000</v>
      </c>
      <c r="Q314" s="1018">
        <f>P314</f>
        <v>8700000</v>
      </c>
      <c r="R314" s="2004">
        <v>7925000</v>
      </c>
      <c r="S314" s="2005">
        <f t="shared" ref="S314" si="132">Q314-R314</f>
        <v>775000</v>
      </c>
      <c r="T314" s="2006">
        <f t="shared" si="131"/>
        <v>9.7791798107255523E-2</v>
      </c>
    </row>
    <row r="315" spans="1:20" ht="15" customHeight="1">
      <c r="A315" s="778"/>
      <c r="B315" s="786"/>
      <c r="C315" s="792"/>
      <c r="D315" s="786"/>
      <c r="E315" s="3282"/>
      <c r="F315" s="1528" t="s">
        <v>2540</v>
      </c>
      <c r="G315" s="997">
        <v>40000</v>
      </c>
      <c r="H315" s="996" t="s">
        <v>153</v>
      </c>
      <c r="I315" s="2045">
        <v>5</v>
      </c>
      <c r="J315" s="996"/>
      <c r="K315" s="1000"/>
      <c r="L315" s="2036"/>
      <c r="M315" s="1000"/>
      <c r="N315" s="1001"/>
      <c r="O315" s="1001" t="s">
        <v>2539</v>
      </c>
      <c r="P315" s="2037">
        <f>ROUNDUP(G315*I315,-3)</f>
        <v>200000</v>
      </c>
      <c r="Q315" s="806"/>
      <c r="R315" s="2021"/>
      <c r="S315" s="2022"/>
      <c r="T315" s="2023"/>
    </row>
    <row r="316" spans="1:20" ht="15" customHeight="1">
      <c r="A316" s="778"/>
      <c r="B316" s="786"/>
      <c r="C316" s="792"/>
      <c r="D316" s="786"/>
      <c r="E316" s="3282"/>
      <c r="F316" s="1528" t="s">
        <v>2541</v>
      </c>
      <c r="G316" s="997">
        <v>500000</v>
      </c>
      <c r="H316" s="996" t="s">
        <v>2411</v>
      </c>
      <c r="I316" s="2045">
        <v>8</v>
      </c>
      <c r="J316" s="996"/>
      <c r="K316" s="1000"/>
      <c r="L316" s="2036"/>
      <c r="M316" s="1000"/>
      <c r="N316" s="1001"/>
      <c r="O316" s="1001" t="s">
        <v>2412</v>
      </c>
      <c r="P316" s="2037">
        <f>ROUNDUP(G316*I316,-3)</f>
        <v>4000000</v>
      </c>
      <c r="Q316" s="806"/>
      <c r="R316" s="2021"/>
      <c r="S316" s="2022"/>
      <c r="T316" s="2023"/>
    </row>
    <row r="317" spans="1:20" ht="15" customHeight="1">
      <c r="A317" s="778"/>
      <c r="B317" s="786"/>
      <c r="C317" s="792"/>
      <c r="D317" s="786"/>
      <c r="E317" s="3283"/>
      <c r="F317" s="1528" t="s">
        <v>2542</v>
      </c>
      <c r="G317" s="997">
        <v>1500000</v>
      </c>
      <c r="H317" s="996" t="s">
        <v>2411</v>
      </c>
      <c r="I317" s="2077">
        <v>3</v>
      </c>
      <c r="J317" s="996"/>
      <c r="K317" s="1000"/>
      <c r="L317" s="2036"/>
      <c r="M317" s="1000"/>
      <c r="N317" s="1001"/>
      <c r="O317" s="1001" t="s">
        <v>2412</v>
      </c>
      <c r="P317" s="2037">
        <f>ROUNDUP(G317*I317,-3)</f>
        <v>4500000</v>
      </c>
      <c r="Q317" s="2016"/>
      <c r="R317" s="2017"/>
      <c r="S317" s="2018"/>
      <c r="T317" s="2019"/>
    </row>
    <row r="318" spans="1:20" s="2134" customFormat="1" ht="15" customHeight="1">
      <c r="A318" s="1092"/>
      <c r="B318" s="1093"/>
      <c r="C318" s="1094"/>
      <c r="D318" s="1095" t="s">
        <v>1761</v>
      </c>
      <c r="E318" s="3352"/>
      <c r="F318" s="2115"/>
      <c r="G318" s="2116"/>
      <c r="H318" s="2117"/>
      <c r="I318" s="2117"/>
      <c r="J318" s="2117"/>
      <c r="K318" s="2117"/>
      <c r="L318" s="2118"/>
      <c r="M318" s="2117"/>
      <c r="N318" s="2119"/>
      <c r="O318" s="2119"/>
      <c r="P318" s="2117"/>
      <c r="Q318" s="989">
        <f>Q319+Q352+Q361</f>
        <v>367993000</v>
      </c>
      <c r="R318" s="989">
        <f>R319+R352+R361</f>
        <v>87732000</v>
      </c>
      <c r="S318" s="2120">
        <f>Q318-R318</f>
        <v>280261000</v>
      </c>
      <c r="T318" s="2121">
        <f>S318/R318</f>
        <v>3.1945128345415585</v>
      </c>
    </row>
    <row r="319" spans="1:20" ht="15" customHeight="1">
      <c r="A319" s="778"/>
      <c r="B319" s="786"/>
      <c r="C319" s="792"/>
      <c r="D319" s="786"/>
      <c r="E319" s="3637" t="s">
        <v>3126</v>
      </c>
      <c r="F319" s="3638"/>
      <c r="G319" s="3638"/>
      <c r="H319" s="3638"/>
      <c r="I319" s="3638"/>
      <c r="J319" s="3638"/>
      <c r="K319" s="3638"/>
      <c r="L319" s="3638"/>
      <c r="M319" s="3638"/>
      <c r="N319" s="3638"/>
      <c r="O319" s="3638"/>
      <c r="P319" s="3639"/>
      <c r="Q319" s="645">
        <f>SUM(P320,P323,P330,P337,P340,P344)</f>
        <v>245269000</v>
      </c>
      <c r="R319" s="645">
        <f>SUM(R320:R351)</f>
        <v>50166000</v>
      </c>
      <c r="S319" s="646">
        <f>Q319-R319</f>
        <v>195103000</v>
      </c>
      <c r="T319" s="647">
        <f>S319/R319</f>
        <v>3.8891480285452298</v>
      </c>
    </row>
    <row r="320" spans="1:20" ht="15" customHeight="1">
      <c r="A320" s="778"/>
      <c r="B320" s="786"/>
      <c r="C320" s="792"/>
      <c r="D320" s="786"/>
      <c r="F320" s="2002" t="s">
        <v>1762</v>
      </c>
      <c r="G320" s="1004"/>
      <c r="H320" s="992"/>
      <c r="I320" s="992"/>
      <c r="J320" s="992"/>
      <c r="K320" s="992"/>
      <c r="L320" s="2003"/>
      <c r="M320" s="992"/>
      <c r="N320" s="1022"/>
      <c r="O320" s="1022"/>
      <c r="P320" s="994">
        <f>SUM(P321:P322)</f>
        <v>80000000</v>
      </c>
      <c r="Q320" s="1018">
        <f>P320</f>
        <v>80000000</v>
      </c>
      <c r="R320" s="2004">
        <v>0</v>
      </c>
      <c r="S320" s="2005">
        <f t="shared" ref="S320" si="133">Q320-R320</f>
        <v>80000000</v>
      </c>
      <c r="T320" s="2006"/>
    </row>
    <row r="321" spans="1:20" ht="15" customHeight="1">
      <c r="A321" s="778"/>
      <c r="B321" s="786"/>
      <c r="C321" s="792"/>
      <c r="D321" s="786"/>
      <c r="E321" s="3282"/>
      <c r="F321" s="2177" t="s">
        <v>2543</v>
      </c>
      <c r="G321" s="2093">
        <v>2000000</v>
      </c>
      <c r="H321" s="2061" t="s">
        <v>454</v>
      </c>
      <c r="I321" s="2066">
        <v>25</v>
      </c>
      <c r="J321" s="2061"/>
      <c r="K321" s="2061"/>
      <c r="L321" s="2063"/>
      <c r="M321" s="2061"/>
      <c r="N321" s="2064"/>
      <c r="O321" s="2064" t="s">
        <v>22</v>
      </c>
      <c r="P321" s="2065">
        <f>PRODUCT(G321:N321)</f>
        <v>50000000</v>
      </c>
      <c r="Q321" s="694"/>
      <c r="R321" s="694"/>
      <c r="S321" s="695"/>
      <c r="T321" s="2089"/>
    </row>
    <row r="322" spans="1:20" ht="15" customHeight="1">
      <c r="A322" s="778"/>
      <c r="B322" s="786"/>
      <c r="C322" s="792"/>
      <c r="D322" s="786"/>
      <c r="E322" s="3282"/>
      <c r="F322" s="2177" t="s">
        <v>2544</v>
      </c>
      <c r="G322" s="2093">
        <v>120000</v>
      </c>
      <c r="H322" s="2061" t="s">
        <v>454</v>
      </c>
      <c r="I322" s="2066">
        <v>25</v>
      </c>
      <c r="J322" s="2061" t="s">
        <v>454</v>
      </c>
      <c r="K322" s="2062">
        <v>10</v>
      </c>
      <c r="L322" s="2063"/>
      <c r="M322" s="2061"/>
      <c r="N322" s="2064"/>
      <c r="O322" s="2064" t="s">
        <v>22</v>
      </c>
      <c r="P322" s="2065">
        <f>PRODUCT(G322:N322)</f>
        <v>30000000</v>
      </c>
      <c r="Q322" s="694"/>
      <c r="R322" s="694"/>
      <c r="S322" s="695"/>
      <c r="T322" s="2089"/>
    </row>
    <row r="323" spans="1:20" ht="15" customHeight="1">
      <c r="A323" s="778"/>
      <c r="B323" s="786"/>
      <c r="C323" s="792"/>
      <c r="D323" s="786"/>
      <c r="E323" s="3282"/>
      <c r="F323" s="2002" t="s">
        <v>1764</v>
      </c>
      <c r="G323" s="1004"/>
      <c r="H323" s="992"/>
      <c r="I323" s="992"/>
      <c r="J323" s="992"/>
      <c r="K323" s="992"/>
      <c r="L323" s="2003"/>
      <c r="M323" s="992"/>
      <c r="N323" s="1022"/>
      <c r="O323" s="1022"/>
      <c r="P323" s="994">
        <f>SUM(P324:P329)</f>
        <v>4500000</v>
      </c>
      <c r="Q323" s="1018">
        <f>P323</f>
        <v>4500000</v>
      </c>
      <c r="R323" s="2004">
        <v>0</v>
      </c>
      <c r="S323" s="2005">
        <f t="shared" ref="S323" si="134">Q323-R323</f>
        <v>4500000</v>
      </c>
      <c r="T323" s="2006"/>
    </row>
    <row r="324" spans="1:20" ht="15" customHeight="1">
      <c r="A324" s="778"/>
      <c r="B324" s="786"/>
      <c r="C324" s="792"/>
      <c r="D324" s="786"/>
      <c r="E324" s="3282"/>
      <c r="F324" s="1528" t="s">
        <v>2545</v>
      </c>
      <c r="G324" s="997">
        <v>250000</v>
      </c>
      <c r="H324" s="996" t="s">
        <v>153</v>
      </c>
      <c r="I324" s="2178">
        <v>6</v>
      </c>
      <c r="J324" s="996"/>
      <c r="K324" s="2151"/>
      <c r="L324" s="2083"/>
      <c r="M324" s="996"/>
      <c r="N324" s="1001"/>
      <c r="O324" s="1001" t="s">
        <v>129</v>
      </c>
      <c r="P324" s="997">
        <f>G324*I324</f>
        <v>1500000</v>
      </c>
      <c r="Q324" s="2016"/>
      <c r="R324" s="2017"/>
      <c r="S324" s="2018"/>
      <c r="T324" s="2019"/>
    </row>
    <row r="325" spans="1:20" ht="15" customHeight="1">
      <c r="A325" s="778"/>
      <c r="B325" s="786"/>
      <c r="C325" s="792"/>
      <c r="D325" s="786"/>
      <c r="E325" s="3282"/>
      <c r="F325" s="1528" t="s">
        <v>2546</v>
      </c>
      <c r="G325" s="997">
        <v>100000</v>
      </c>
      <c r="H325" s="996" t="s">
        <v>153</v>
      </c>
      <c r="I325" s="2179">
        <v>6</v>
      </c>
      <c r="J325" s="996"/>
      <c r="K325" s="2151"/>
      <c r="L325" s="2083"/>
      <c r="M325" s="996"/>
      <c r="N325" s="1001"/>
      <c r="O325" s="1001" t="s">
        <v>129</v>
      </c>
      <c r="P325" s="997">
        <f>G325*I325</f>
        <v>600000</v>
      </c>
      <c r="Q325" s="2016"/>
      <c r="R325" s="2017"/>
      <c r="S325" s="2018"/>
      <c r="T325" s="2019"/>
    </row>
    <row r="326" spans="1:20" ht="15" customHeight="1">
      <c r="A326" s="778"/>
      <c r="B326" s="786"/>
      <c r="C326" s="792"/>
      <c r="D326" s="786"/>
      <c r="E326" s="3282"/>
      <c r="F326" s="1528" t="s">
        <v>2547</v>
      </c>
      <c r="G326" s="997">
        <v>94000</v>
      </c>
      <c r="H326" s="996" t="s">
        <v>2548</v>
      </c>
      <c r="I326" s="2179">
        <v>6</v>
      </c>
      <c r="J326" s="996"/>
      <c r="K326" s="2151"/>
      <c r="L326" s="2083"/>
      <c r="M326" s="996"/>
      <c r="N326" s="1001"/>
      <c r="O326" s="1001" t="s">
        <v>409</v>
      </c>
      <c r="P326" s="997">
        <f>G326*I326</f>
        <v>564000</v>
      </c>
      <c r="Q326" s="2016"/>
      <c r="R326" s="2017"/>
      <c r="S326" s="2018"/>
      <c r="T326" s="2019"/>
    </row>
    <row r="327" spans="1:20" ht="15" customHeight="1">
      <c r="A327" s="778"/>
      <c r="B327" s="786"/>
      <c r="C327" s="792"/>
      <c r="D327" s="786"/>
      <c r="E327" s="3282"/>
      <c r="F327" s="1528" t="s">
        <v>2549</v>
      </c>
      <c r="G327" s="997">
        <v>300000</v>
      </c>
      <c r="H327" s="996" t="s">
        <v>153</v>
      </c>
      <c r="I327" s="2180">
        <v>1</v>
      </c>
      <c r="J327" s="996"/>
      <c r="K327" s="2151"/>
      <c r="L327" s="2083"/>
      <c r="M327" s="996"/>
      <c r="N327" s="1001"/>
      <c r="O327" s="1001" t="s">
        <v>409</v>
      </c>
      <c r="P327" s="997">
        <f>G327*I327</f>
        <v>300000</v>
      </c>
      <c r="Q327" s="2016"/>
      <c r="R327" s="2017"/>
      <c r="S327" s="2018"/>
      <c r="T327" s="2019"/>
    </row>
    <row r="328" spans="1:20" ht="15" customHeight="1">
      <c r="A328" s="778"/>
      <c r="B328" s="786"/>
      <c r="C328" s="792"/>
      <c r="D328" s="786"/>
      <c r="E328" s="3282"/>
      <c r="F328" s="1528" t="s">
        <v>2550</v>
      </c>
      <c r="G328" s="997">
        <v>3000</v>
      </c>
      <c r="H328" s="996" t="s">
        <v>912</v>
      </c>
      <c r="I328" s="2133">
        <v>48</v>
      </c>
      <c r="J328" s="996" t="s">
        <v>912</v>
      </c>
      <c r="K328" s="2181">
        <v>6</v>
      </c>
      <c r="L328" s="2083"/>
      <c r="M328" s="996"/>
      <c r="N328" s="1001"/>
      <c r="O328" s="1001" t="s">
        <v>2412</v>
      </c>
      <c r="P328" s="2182">
        <f>G328*I328*K328</f>
        <v>864000</v>
      </c>
      <c r="Q328" s="2016"/>
      <c r="R328" s="2017"/>
      <c r="S328" s="2018"/>
      <c r="T328" s="2019"/>
    </row>
    <row r="329" spans="1:20" ht="15" customHeight="1">
      <c r="A329" s="778"/>
      <c r="B329" s="786"/>
      <c r="C329" s="792"/>
      <c r="D329" s="786"/>
      <c r="E329" s="3282"/>
      <c r="F329" s="1528" t="s">
        <v>2551</v>
      </c>
      <c r="G329" s="997">
        <v>7000</v>
      </c>
      <c r="H329" s="996" t="s">
        <v>912</v>
      </c>
      <c r="I329" s="2133">
        <v>48</v>
      </c>
      <c r="J329" s="996" t="s">
        <v>912</v>
      </c>
      <c r="K329" s="2181">
        <v>2</v>
      </c>
      <c r="L329" s="2083"/>
      <c r="M329" s="996"/>
      <c r="N329" s="1001"/>
      <c r="O329" s="1001" t="s">
        <v>409</v>
      </c>
      <c r="P329" s="997">
        <f>G329*I329*K329</f>
        <v>672000</v>
      </c>
      <c r="Q329" s="2016"/>
      <c r="R329" s="2017"/>
      <c r="S329" s="2018"/>
      <c r="T329" s="2019"/>
    </row>
    <row r="330" spans="1:20" ht="15" customHeight="1">
      <c r="A330" s="778"/>
      <c r="B330" s="786"/>
      <c r="C330" s="792"/>
      <c r="D330" s="786"/>
      <c r="E330" s="3282"/>
      <c r="F330" s="2002" t="s">
        <v>1765</v>
      </c>
      <c r="G330" s="1004"/>
      <c r="H330" s="992"/>
      <c r="I330" s="992"/>
      <c r="J330" s="992"/>
      <c r="K330" s="992"/>
      <c r="L330" s="2003"/>
      <c r="M330" s="992"/>
      <c r="N330" s="1022"/>
      <c r="O330" s="1022"/>
      <c r="P330" s="994">
        <f>SUM(P331:P336)</f>
        <v>5600000</v>
      </c>
      <c r="Q330" s="1018">
        <f>P330</f>
        <v>5600000</v>
      </c>
      <c r="R330" s="2004">
        <v>0</v>
      </c>
      <c r="S330" s="2005">
        <f t="shared" ref="S330" si="135">Q330-R330</f>
        <v>5600000</v>
      </c>
      <c r="T330" s="2006"/>
    </row>
    <row r="331" spans="1:20" ht="15" customHeight="1">
      <c r="A331" s="778"/>
      <c r="B331" s="786"/>
      <c r="C331" s="792"/>
      <c r="D331" s="786"/>
      <c r="E331" s="3282"/>
      <c r="F331" s="1528" t="s">
        <v>2552</v>
      </c>
      <c r="G331" s="997">
        <v>500000</v>
      </c>
      <c r="H331" s="996" t="s">
        <v>2411</v>
      </c>
      <c r="I331" s="2178">
        <v>6</v>
      </c>
      <c r="J331" s="996"/>
      <c r="K331" s="996"/>
      <c r="L331" s="2083"/>
      <c r="M331" s="996"/>
      <c r="N331" s="1001"/>
      <c r="O331" s="1001" t="s">
        <v>2412</v>
      </c>
      <c r="P331" s="997">
        <f>G331*I331</f>
        <v>3000000</v>
      </c>
      <c r="Q331" s="2016"/>
      <c r="R331" s="2017"/>
      <c r="S331" s="2018"/>
      <c r="T331" s="2019"/>
    </row>
    <row r="332" spans="1:20" ht="15" customHeight="1">
      <c r="A332" s="1130"/>
      <c r="B332" s="846"/>
      <c r="C332" s="780"/>
      <c r="D332" s="846"/>
      <c r="E332" s="3317"/>
      <c r="F332" s="2138" t="s">
        <v>2553</v>
      </c>
      <c r="G332" s="2152">
        <v>100000</v>
      </c>
      <c r="H332" s="2153" t="s">
        <v>912</v>
      </c>
      <c r="I332" s="3042">
        <v>5</v>
      </c>
      <c r="J332" s="2153"/>
      <c r="K332" s="2153"/>
      <c r="L332" s="3043"/>
      <c r="M332" s="2153"/>
      <c r="N332" s="2157"/>
      <c r="O332" s="2157" t="s">
        <v>2412</v>
      </c>
      <c r="P332" s="2152">
        <f>G332*I332</f>
        <v>500000</v>
      </c>
      <c r="Q332" s="2056"/>
      <c r="R332" s="2057"/>
      <c r="S332" s="2058"/>
      <c r="T332" s="3038"/>
    </row>
    <row r="333" spans="1:20" ht="15" customHeight="1">
      <c r="A333" s="778"/>
      <c r="B333" s="786"/>
      <c r="C333" s="792"/>
      <c r="D333" s="786"/>
      <c r="E333" s="3282"/>
      <c r="F333" s="1528" t="s">
        <v>2554</v>
      </c>
      <c r="G333" s="997">
        <v>104000</v>
      </c>
      <c r="H333" s="996" t="s">
        <v>2411</v>
      </c>
      <c r="I333" s="2178">
        <v>5</v>
      </c>
      <c r="J333" s="996"/>
      <c r="K333" s="996"/>
      <c r="L333" s="2083"/>
      <c r="M333" s="996"/>
      <c r="N333" s="1001"/>
      <c r="O333" s="1001" t="s">
        <v>409</v>
      </c>
      <c r="P333" s="997">
        <f>G333*I333</f>
        <v>520000</v>
      </c>
      <c r="Q333" s="2016"/>
      <c r="R333" s="2017"/>
      <c r="S333" s="2018"/>
      <c r="T333" s="2019"/>
    </row>
    <row r="334" spans="1:20" ht="15" customHeight="1">
      <c r="A334" s="778"/>
      <c r="B334" s="786"/>
      <c r="C334" s="792"/>
      <c r="D334" s="786"/>
      <c r="E334" s="3282"/>
      <c r="F334" s="1528" t="s">
        <v>2555</v>
      </c>
      <c r="G334" s="997">
        <v>100000</v>
      </c>
      <c r="H334" s="996" t="s">
        <v>2411</v>
      </c>
      <c r="I334" s="2178">
        <v>3</v>
      </c>
      <c r="J334" s="996"/>
      <c r="K334" s="996"/>
      <c r="L334" s="2083"/>
      <c r="M334" s="996"/>
      <c r="N334" s="1001"/>
      <c r="O334" s="1001" t="s">
        <v>409</v>
      </c>
      <c r="P334" s="997">
        <f>G334*I334</f>
        <v>300000</v>
      </c>
      <c r="Q334" s="2016"/>
      <c r="R334" s="2017"/>
      <c r="S334" s="2018"/>
      <c r="T334" s="2019"/>
    </row>
    <row r="335" spans="1:20" ht="15" customHeight="1">
      <c r="A335" s="778"/>
      <c r="B335" s="786"/>
      <c r="C335" s="792"/>
      <c r="D335" s="786"/>
      <c r="E335" s="3282"/>
      <c r="F335" s="1528" t="s">
        <v>2556</v>
      </c>
      <c r="G335" s="997">
        <v>3000</v>
      </c>
      <c r="H335" s="996" t="s">
        <v>2411</v>
      </c>
      <c r="I335" s="2133">
        <v>80</v>
      </c>
      <c r="J335" s="996" t="s">
        <v>2411</v>
      </c>
      <c r="K335" s="2151">
        <v>3</v>
      </c>
      <c r="L335" s="2083"/>
      <c r="M335" s="996"/>
      <c r="N335" s="1001"/>
      <c r="O335" s="1001" t="s">
        <v>2412</v>
      </c>
      <c r="P335" s="997">
        <f>G335*I335*K335</f>
        <v>720000</v>
      </c>
      <c r="Q335" s="2016"/>
      <c r="R335" s="2017"/>
      <c r="S335" s="2018"/>
      <c r="T335" s="2019"/>
    </row>
    <row r="336" spans="1:20" ht="15" customHeight="1">
      <c r="A336" s="778"/>
      <c r="B336" s="786"/>
      <c r="C336" s="792"/>
      <c r="D336" s="786"/>
      <c r="E336" s="3282"/>
      <c r="F336" s="1528" t="s">
        <v>2557</v>
      </c>
      <c r="G336" s="997">
        <v>7000</v>
      </c>
      <c r="H336" s="996" t="s">
        <v>2411</v>
      </c>
      <c r="I336" s="2133">
        <v>80</v>
      </c>
      <c r="J336" s="996" t="s">
        <v>2411</v>
      </c>
      <c r="K336" s="2151">
        <v>1</v>
      </c>
      <c r="L336" s="2083"/>
      <c r="M336" s="996"/>
      <c r="N336" s="1001"/>
      <c r="O336" s="1001" t="s">
        <v>2412</v>
      </c>
      <c r="P336" s="997">
        <f>G336*I336*K336</f>
        <v>560000</v>
      </c>
      <c r="Q336" s="2016"/>
      <c r="R336" s="2017"/>
      <c r="S336" s="2018"/>
      <c r="T336" s="2019"/>
    </row>
    <row r="337" spans="1:20" ht="15" customHeight="1">
      <c r="A337" s="778"/>
      <c r="B337" s="786"/>
      <c r="C337" s="792"/>
      <c r="D337" s="786"/>
      <c r="E337" s="3282"/>
      <c r="F337" s="2002" t="s">
        <v>1766</v>
      </c>
      <c r="G337" s="1004"/>
      <c r="H337" s="992"/>
      <c r="I337" s="992"/>
      <c r="J337" s="992"/>
      <c r="K337" s="992"/>
      <c r="L337" s="2003"/>
      <c r="M337" s="992"/>
      <c r="N337" s="1022"/>
      <c r="O337" s="1022"/>
      <c r="P337" s="994">
        <f>SUM(P338:P339)</f>
        <v>6000000</v>
      </c>
      <c r="Q337" s="1018">
        <f>P337</f>
        <v>6000000</v>
      </c>
      <c r="R337" s="2004">
        <v>1200000</v>
      </c>
      <c r="S337" s="2005">
        <f t="shared" ref="S337" si="136">Q337-R337</f>
        <v>4800000</v>
      </c>
      <c r="T337" s="2006">
        <f t="shared" ref="T337" si="137">S337/R337</f>
        <v>4</v>
      </c>
    </row>
    <row r="338" spans="1:20" ht="15" customHeight="1">
      <c r="A338" s="778"/>
      <c r="B338" s="786"/>
      <c r="C338" s="792"/>
      <c r="D338" s="786"/>
      <c r="E338" s="3282"/>
      <c r="F338" s="1528" t="s">
        <v>2558</v>
      </c>
      <c r="G338" s="2183">
        <v>250000</v>
      </c>
      <c r="H338" s="996" t="s">
        <v>21</v>
      </c>
      <c r="I338" s="2184">
        <v>12</v>
      </c>
      <c r="J338" s="996"/>
      <c r="K338" s="996"/>
      <c r="L338" s="2083"/>
      <c r="M338" s="996"/>
      <c r="N338" s="1001"/>
      <c r="O338" s="1001" t="s">
        <v>22</v>
      </c>
      <c r="P338" s="2065">
        <f>PRODUCT(G338:N338)</f>
        <v>3000000</v>
      </c>
      <c r="Q338" s="2016"/>
      <c r="R338" s="2017"/>
      <c r="S338" s="2018"/>
      <c r="T338" s="2019"/>
    </row>
    <row r="339" spans="1:20" ht="15" customHeight="1">
      <c r="A339" s="778"/>
      <c r="B339" s="786"/>
      <c r="C339" s="792"/>
      <c r="D339" s="786"/>
      <c r="E339" s="3282"/>
      <c r="F339" s="1528" t="s">
        <v>2559</v>
      </c>
      <c r="G339" s="2183">
        <v>250000</v>
      </c>
      <c r="H339" s="996" t="s">
        <v>21</v>
      </c>
      <c r="I339" s="2184">
        <v>12</v>
      </c>
      <c r="J339" s="996"/>
      <c r="K339" s="996"/>
      <c r="L339" s="2083"/>
      <c r="M339" s="996"/>
      <c r="N339" s="1001"/>
      <c r="O339" s="1001" t="s">
        <v>22</v>
      </c>
      <c r="P339" s="2065">
        <f>PRODUCT(G339:N339)</f>
        <v>3000000</v>
      </c>
      <c r="Q339" s="2016"/>
      <c r="R339" s="2017"/>
      <c r="S339" s="2018"/>
      <c r="T339" s="2019"/>
    </row>
    <row r="340" spans="1:20" ht="15" customHeight="1">
      <c r="A340" s="778"/>
      <c r="B340" s="786"/>
      <c r="C340" s="792"/>
      <c r="D340" s="786"/>
      <c r="E340" s="3282"/>
      <c r="F340" s="2002" t="s">
        <v>1767</v>
      </c>
      <c r="G340" s="1004"/>
      <c r="H340" s="992"/>
      <c r="I340" s="992"/>
      <c r="J340" s="992"/>
      <c r="K340" s="992"/>
      <c r="L340" s="2003"/>
      <c r="M340" s="992"/>
      <c r="N340" s="1022"/>
      <c r="O340" s="1022"/>
      <c r="P340" s="994">
        <f>SUM(P341:P343)</f>
        <v>37901000</v>
      </c>
      <c r="Q340" s="1018">
        <f>P340</f>
        <v>37901000</v>
      </c>
      <c r="R340" s="2004">
        <v>16400000</v>
      </c>
      <c r="S340" s="2005">
        <f t="shared" ref="S340" si="138">Q340-R340</f>
        <v>21501000</v>
      </c>
      <c r="T340" s="2006">
        <f t="shared" ref="T340" si="139">S340/R340</f>
        <v>1.3110365853658537</v>
      </c>
    </row>
    <row r="341" spans="1:20" ht="15" customHeight="1">
      <c r="A341" s="778"/>
      <c r="B341" s="786"/>
      <c r="C341" s="792"/>
      <c r="D341" s="786"/>
      <c r="E341" s="3282"/>
      <c r="F341" s="2185" t="s">
        <v>2560</v>
      </c>
      <c r="G341" s="2035">
        <v>2555000</v>
      </c>
      <c r="H341" s="996" t="s">
        <v>2411</v>
      </c>
      <c r="I341" s="1000">
        <v>12</v>
      </c>
      <c r="J341" s="996"/>
      <c r="K341" s="1000"/>
      <c r="L341" s="2036"/>
      <c r="M341" s="1000"/>
      <c r="N341" s="1001"/>
      <c r="O341" s="1001" t="s">
        <v>2412</v>
      </c>
      <c r="P341" s="2037">
        <f>ROUNDUP(G341*I341,-3)</f>
        <v>30660000</v>
      </c>
      <c r="Q341" s="806"/>
      <c r="R341" s="2021"/>
      <c r="S341" s="2022"/>
      <c r="T341" s="2023"/>
    </row>
    <row r="342" spans="1:20" ht="15" customHeight="1">
      <c r="A342" s="778"/>
      <c r="B342" s="786"/>
      <c r="C342" s="792"/>
      <c r="D342" s="786"/>
      <c r="E342" s="3282"/>
      <c r="F342" s="2185" t="s">
        <v>2561</v>
      </c>
      <c r="G342" s="2035">
        <v>500000</v>
      </c>
      <c r="H342" s="996" t="s">
        <v>2411</v>
      </c>
      <c r="I342" s="1000">
        <v>12</v>
      </c>
      <c r="J342" s="996"/>
      <c r="K342" s="2151"/>
      <c r="L342" s="2036"/>
      <c r="M342" s="1000"/>
      <c r="N342" s="1001"/>
      <c r="O342" s="1001" t="s">
        <v>2412</v>
      </c>
      <c r="P342" s="2037">
        <f>ROUNDUP(G342*I342,-3)</f>
        <v>6000000</v>
      </c>
      <c r="Q342" s="806"/>
      <c r="R342" s="2021"/>
      <c r="S342" s="2022"/>
      <c r="T342" s="2023"/>
    </row>
    <row r="343" spans="1:20" ht="15" customHeight="1">
      <c r="A343" s="778"/>
      <c r="B343" s="786"/>
      <c r="C343" s="792"/>
      <c r="D343" s="786"/>
      <c r="E343" s="3282"/>
      <c r="F343" s="2185" t="s">
        <v>2562</v>
      </c>
      <c r="G343" s="2035">
        <v>310250</v>
      </c>
      <c r="H343" s="996" t="s">
        <v>912</v>
      </c>
      <c r="I343" s="2151">
        <v>4</v>
      </c>
      <c r="J343" s="996"/>
      <c r="K343" s="1000"/>
      <c r="L343" s="2036"/>
      <c r="M343" s="1000"/>
      <c r="N343" s="1001"/>
      <c r="O343" s="1001" t="s">
        <v>2412</v>
      </c>
      <c r="P343" s="2037">
        <f>ROUNDUP(G343*I343,-3)</f>
        <v>1241000</v>
      </c>
      <c r="Q343" s="806"/>
      <c r="R343" s="2021"/>
      <c r="S343" s="2022"/>
      <c r="T343" s="2023"/>
    </row>
    <row r="344" spans="1:20" ht="15" customHeight="1">
      <c r="A344" s="778"/>
      <c r="B344" s="786"/>
      <c r="C344" s="792"/>
      <c r="D344" s="786"/>
      <c r="E344" s="3282"/>
      <c r="F344" s="2002" t="s">
        <v>1768</v>
      </c>
      <c r="G344" s="1004"/>
      <c r="H344" s="992"/>
      <c r="I344" s="992"/>
      <c r="J344" s="992"/>
      <c r="K344" s="992"/>
      <c r="L344" s="2003"/>
      <c r="M344" s="992"/>
      <c r="N344" s="1022"/>
      <c r="O344" s="1022"/>
      <c r="P344" s="994">
        <f>SUM(P345:P351)</f>
        <v>111268000</v>
      </c>
      <c r="Q344" s="1018">
        <f>P344</f>
        <v>111268000</v>
      </c>
      <c r="R344" s="2004">
        <v>32566000</v>
      </c>
      <c r="S344" s="2005">
        <f t="shared" ref="S344" si="140">Q344-R344</f>
        <v>78702000</v>
      </c>
      <c r="T344" s="2006">
        <f t="shared" ref="T344" si="141">S344/R344</f>
        <v>2.4166922557268316</v>
      </c>
    </row>
    <row r="345" spans="1:20" ht="15" customHeight="1">
      <c r="A345" s="778"/>
      <c r="B345" s="786"/>
      <c r="C345" s="792"/>
      <c r="D345" s="786"/>
      <c r="E345" s="3282"/>
      <c r="F345" s="2185" t="s">
        <v>2563</v>
      </c>
      <c r="G345" s="2035">
        <v>7312000</v>
      </c>
      <c r="H345" s="996" t="s">
        <v>2411</v>
      </c>
      <c r="I345" s="1000">
        <v>12</v>
      </c>
      <c r="J345" s="996"/>
      <c r="K345" s="1000"/>
      <c r="L345" s="2036"/>
      <c r="M345" s="1000"/>
      <c r="N345" s="1001"/>
      <c r="O345" s="1001" t="s">
        <v>2412</v>
      </c>
      <c r="P345" s="2065">
        <f>PRODUCT(G345:N345)</f>
        <v>87744000</v>
      </c>
      <c r="Q345" s="806"/>
      <c r="R345" s="2021"/>
      <c r="S345" s="2022"/>
      <c r="T345" s="2023"/>
    </row>
    <row r="346" spans="1:20" ht="15" customHeight="1">
      <c r="A346" s="778"/>
      <c r="B346" s="786"/>
      <c r="C346" s="792"/>
      <c r="D346" s="786"/>
      <c r="E346" s="3282"/>
      <c r="F346" s="2185" t="s">
        <v>2564</v>
      </c>
      <c r="G346" s="2035">
        <v>1271000</v>
      </c>
      <c r="H346" s="996" t="s">
        <v>2411</v>
      </c>
      <c r="I346" s="2151">
        <v>1</v>
      </c>
      <c r="J346" s="996"/>
      <c r="K346" s="1000"/>
      <c r="L346" s="2036"/>
      <c r="M346" s="1000"/>
      <c r="N346" s="1001"/>
      <c r="O346" s="1001" t="s">
        <v>409</v>
      </c>
      <c r="P346" s="2037">
        <f>ROUNDUP(G346*I346,-3)</f>
        <v>1271000</v>
      </c>
      <c r="Q346" s="806"/>
      <c r="R346" s="2021"/>
      <c r="S346" s="2022"/>
      <c r="T346" s="2023"/>
    </row>
    <row r="347" spans="1:20" ht="15" customHeight="1">
      <c r="A347" s="778"/>
      <c r="B347" s="786"/>
      <c r="C347" s="792"/>
      <c r="D347" s="786"/>
      <c r="E347" s="3282"/>
      <c r="F347" s="2185" t="s">
        <v>2565</v>
      </c>
      <c r="G347" s="2035">
        <v>300000</v>
      </c>
      <c r="H347" s="996" t="s">
        <v>2411</v>
      </c>
      <c r="I347" s="2151">
        <v>1</v>
      </c>
      <c r="J347" s="996"/>
      <c r="K347" s="1000"/>
      <c r="L347" s="2036"/>
      <c r="M347" s="1000"/>
      <c r="N347" s="1001"/>
      <c r="O347" s="1001" t="s">
        <v>2412</v>
      </c>
      <c r="P347" s="2037">
        <f>ROUNDUP(G347*I347,-3)</f>
        <v>300000</v>
      </c>
      <c r="Q347" s="806"/>
      <c r="R347" s="2021"/>
      <c r="S347" s="2022"/>
      <c r="T347" s="2023"/>
    </row>
    <row r="348" spans="1:20" ht="15" customHeight="1">
      <c r="A348" s="778"/>
      <c r="B348" s="786"/>
      <c r="C348" s="792"/>
      <c r="D348" s="786"/>
      <c r="E348" s="3282"/>
      <c r="F348" s="2185" t="s">
        <v>2566</v>
      </c>
      <c r="G348" s="2035">
        <v>7000</v>
      </c>
      <c r="H348" s="996" t="s">
        <v>2411</v>
      </c>
      <c r="I348" s="2133">
        <v>20</v>
      </c>
      <c r="J348" s="996" t="s">
        <v>2411</v>
      </c>
      <c r="K348" s="2151">
        <v>1</v>
      </c>
      <c r="L348" s="2036"/>
      <c r="M348" s="1000"/>
      <c r="N348" s="1001"/>
      <c r="O348" s="1001" t="s">
        <v>2412</v>
      </c>
      <c r="P348" s="2037">
        <f>ROUNDUP(G348*I348*K348,-3)</f>
        <v>140000</v>
      </c>
      <c r="Q348" s="806"/>
      <c r="R348" s="2021"/>
      <c r="S348" s="2022"/>
      <c r="T348" s="2023"/>
    </row>
    <row r="349" spans="1:20" ht="15" customHeight="1">
      <c r="A349" s="778"/>
      <c r="B349" s="786"/>
      <c r="C349" s="792"/>
      <c r="D349" s="786"/>
      <c r="E349" s="3282"/>
      <c r="F349" s="2185" t="s">
        <v>2567</v>
      </c>
      <c r="G349" s="2035">
        <v>3000</v>
      </c>
      <c r="H349" s="996" t="s">
        <v>2411</v>
      </c>
      <c r="I349" s="2133">
        <v>20</v>
      </c>
      <c r="J349" s="996" t="s">
        <v>2411</v>
      </c>
      <c r="K349" s="2151">
        <v>1</v>
      </c>
      <c r="L349" s="2036"/>
      <c r="M349" s="1000"/>
      <c r="N349" s="1001"/>
      <c r="O349" s="1001" t="s">
        <v>2412</v>
      </c>
      <c r="P349" s="2037">
        <f>ROUNDUP(G349*I349*K349,-3)</f>
        <v>60000</v>
      </c>
      <c r="Q349" s="806"/>
      <c r="R349" s="2021"/>
      <c r="S349" s="2022"/>
      <c r="T349" s="2023"/>
    </row>
    <row r="350" spans="1:20" ht="15" customHeight="1">
      <c r="A350" s="778"/>
      <c r="B350" s="786"/>
      <c r="C350" s="792"/>
      <c r="D350" s="786"/>
      <c r="E350" s="3282"/>
      <c r="F350" s="2185" t="s">
        <v>2568</v>
      </c>
      <c r="G350" s="2035">
        <v>175080000</v>
      </c>
      <c r="H350" s="996" t="s">
        <v>2411</v>
      </c>
      <c r="I350" s="2186">
        <v>0.03</v>
      </c>
      <c r="J350" s="996"/>
      <c r="K350" s="1000"/>
      <c r="L350" s="2036"/>
      <c r="M350" s="1000"/>
      <c r="N350" s="1001"/>
      <c r="O350" s="1001" t="s">
        <v>409</v>
      </c>
      <c r="P350" s="2037">
        <f>ROUNDUP(G350*I350,-3)</f>
        <v>5253000</v>
      </c>
      <c r="Q350" s="806"/>
      <c r="R350" s="2021"/>
      <c r="S350" s="2022"/>
      <c r="T350" s="2023"/>
    </row>
    <row r="351" spans="1:20" ht="15" customHeight="1">
      <c r="A351" s="778"/>
      <c r="B351" s="786"/>
      <c r="C351" s="792"/>
      <c r="D351" s="786"/>
      <c r="E351" s="3282"/>
      <c r="F351" s="2185" t="s">
        <v>2569</v>
      </c>
      <c r="G351" s="2035">
        <v>1375000</v>
      </c>
      <c r="H351" s="996" t="s">
        <v>2411</v>
      </c>
      <c r="I351" s="1000">
        <v>12</v>
      </c>
      <c r="J351" s="996"/>
      <c r="K351" s="1000"/>
      <c r="L351" s="2036"/>
      <c r="M351" s="1000"/>
      <c r="N351" s="1001"/>
      <c r="O351" s="1001" t="s">
        <v>2412</v>
      </c>
      <c r="P351" s="2037">
        <f>ROUNDUP(G351*I351,-3)</f>
        <v>16500000</v>
      </c>
      <c r="Q351" s="806"/>
      <c r="R351" s="2021"/>
      <c r="S351" s="2022"/>
      <c r="T351" s="2023"/>
    </row>
    <row r="352" spans="1:20" ht="15" customHeight="1">
      <c r="A352" s="778"/>
      <c r="B352" s="786"/>
      <c r="C352" s="792"/>
      <c r="D352" s="786"/>
      <c r="E352" s="3637" t="s">
        <v>3020</v>
      </c>
      <c r="F352" s="3638"/>
      <c r="G352" s="3638"/>
      <c r="H352" s="3638"/>
      <c r="I352" s="3638"/>
      <c r="J352" s="3638"/>
      <c r="K352" s="3638"/>
      <c r="L352" s="3638"/>
      <c r="M352" s="3638"/>
      <c r="N352" s="3638"/>
      <c r="O352" s="3638"/>
      <c r="P352" s="3639"/>
      <c r="Q352" s="645">
        <f>P353+P358</f>
        <v>3692000</v>
      </c>
      <c r="R352" s="645">
        <v>0</v>
      </c>
      <c r="S352" s="646">
        <f>Q352-R352</f>
        <v>3692000</v>
      </c>
      <c r="T352" s="647"/>
    </row>
    <row r="353" spans="1:20" ht="15" customHeight="1">
      <c r="A353" s="778"/>
      <c r="B353" s="786"/>
      <c r="C353" s="792"/>
      <c r="D353" s="786"/>
      <c r="F353" s="2002" t="s">
        <v>1769</v>
      </c>
      <c r="G353" s="1004"/>
      <c r="H353" s="992"/>
      <c r="I353" s="992"/>
      <c r="J353" s="992"/>
      <c r="K353" s="992"/>
      <c r="L353" s="2003"/>
      <c r="M353" s="992"/>
      <c r="N353" s="1022"/>
      <c r="O353" s="1022"/>
      <c r="P353" s="994">
        <f>SUM(P354:P357)</f>
        <v>500000</v>
      </c>
      <c r="Q353" s="1018">
        <f>P353</f>
        <v>500000</v>
      </c>
      <c r="R353" s="2004">
        <v>0</v>
      </c>
      <c r="S353" s="2005">
        <f t="shared" ref="S353" si="142">Q353-R353</f>
        <v>500000</v>
      </c>
      <c r="T353" s="2006"/>
    </row>
    <row r="354" spans="1:20" ht="15" customHeight="1">
      <c r="A354" s="778"/>
      <c r="B354" s="786"/>
      <c r="C354" s="792"/>
      <c r="D354" s="786"/>
      <c r="F354" s="2060" t="s">
        <v>2570</v>
      </c>
      <c r="G354" s="2093">
        <v>100000</v>
      </c>
      <c r="H354" s="2061" t="s">
        <v>454</v>
      </c>
      <c r="I354" s="2062">
        <v>1</v>
      </c>
      <c r="J354" s="2061"/>
      <c r="K354" s="2061"/>
      <c r="L354" s="2063"/>
      <c r="M354" s="2061"/>
      <c r="N354" s="2064"/>
      <c r="O354" s="2064" t="s">
        <v>22</v>
      </c>
      <c r="P354" s="2065">
        <f>PRODUCT(G354:N354)</f>
        <v>100000</v>
      </c>
      <c r="Q354" s="694"/>
      <c r="R354" s="694"/>
      <c r="S354" s="695"/>
      <c r="T354" s="2089"/>
    </row>
    <row r="355" spans="1:20" ht="15" customHeight="1">
      <c r="A355" s="778"/>
      <c r="B355" s="786"/>
      <c r="C355" s="792"/>
      <c r="D355" s="786"/>
      <c r="E355" s="3282"/>
      <c r="F355" s="2060" t="s">
        <v>2571</v>
      </c>
      <c r="G355" s="2093">
        <v>70000</v>
      </c>
      <c r="H355" s="2061" t="s">
        <v>454</v>
      </c>
      <c r="I355" s="2097" t="s">
        <v>2572</v>
      </c>
      <c r="J355" s="2061"/>
      <c r="K355" s="2061"/>
      <c r="L355" s="2063"/>
      <c r="M355" s="2061"/>
      <c r="N355" s="2064"/>
      <c r="O355" s="2064" t="s">
        <v>22</v>
      </c>
      <c r="P355" s="2065">
        <f>PRODUCT(G355:N355)</f>
        <v>70000</v>
      </c>
      <c r="Q355" s="694"/>
      <c r="R355" s="694"/>
      <c r="S355" s="695"/>
      <c r="T355" s="2089"/>
    </row>
    <row r="356" spans="1:20" ht="15" customHeight="1">
      <c r="A356" s="778"/>
      <c r="B356" s="786"/>
      <c r="C356" s="792"/>
      <c r="D356" s="786"/>
      <c r="E356" s="3282"/>
      <c r="F356" s="2060" t="s">
        <v>2573</v>
      </c>
      <c r="G356" s="2093">
        <v>3000</v>
      </c>
      <c r="H356" s="2061" t="s">
        <v>454</v>
      </c>
      <c r="I356" s="2066">
        <v>20</v>
      </c>
      <c r="J356" s="2061" t="s">
        <v>454</v>
      </c>
      <c r="K356" s="2062">
        <v>3</v>
      </c>
      <c r="L356" s="2063"/>
      <c r="M356" s="2061"/>
      <c r="N356" s="2064"/>
      <c r="O356" s="2064" t="s">
        <v>22</v>
      </c>
      <c r="P356" s="2065">
        <f>PRODUCT(G356:N356)</f>
        <v>180000</v>
      </c>
      <c r="Q356" s="694"/>
      <c r="R356" s="694"/>
      <c r="S356" s="695"/>
      <c r="T356" s="2089"/>
    </row>
    <row r="357" spans="1:20" ht="15" customHeight="1">
      <c r="A357" s="778"/>
      <c r="B357" s="786"/>
      <c r="C357" s="792"/>
      <c r="D357" s="786"/>
      <c r="E357" s="3282"/>
      <c r="F357" s="2060" t="s">
        <v>2574</v>
      </c>
      <c r="G357" s="2093">
        <v>150000</v>
      </c>
      <c r="H357" s="2061" t="s">
        <v>454</v>
      </c>
      <c r="I357" s="2062">
        <v>1</v>
      </c>
      <c r="J357" s="2061" t="s">
        <v>454</v>
      </c>
      <c r="K357" s="2062"/>
      <c r="L357" s="2063"/>
      <c r="M357" s="2061"/>
      <c r="N357" s="2064"/>
      <c r="O357" s="2064" t="s">
        <v>22</v>
      </c>
      <c r="P357" s="2065">
        <f>PRODUCT(G357:N357)</f>
        <v>150000</v>
      </c>
      <c r="Q357" s="694"/>
      <c r="R357" s="694"/>
      <c r="S357" s="695"/>
      <c r="T357" s="2089"/>
    </row>
    <row r="358" spans="1:20" s="930" customFormat="1" ht="15" customHeight="1">
      <c r="A358" s="617"/>
      <c r="B358" s="632"/>
      <c r="C358" s="719"/>
      <c r="D358" s="632"/>
      <c r="E358" s="725"/>
      <c r="F358" s="2002" t="s">
        <v>1719</v>
      </c>
      <c r="G358" s="1004"/>
      <c r="H358" s="992"/>
      <c r="I358" s="992"/>
      <c r="J358" s="992"/>
      <c r="K358" s="992"/>
      <c r="L358" s="2003"/>
      <c r="M358" s="992"/>
      <c r="N358" s="1022"/>
      <c r="O358" s="1022"/>
      <c r="P358" s="994">
        <f>SUM(P359:P360)</f>
        <v>3192000</v>
      </c>
      <c r="Q358" s="1018">
        <f>P358</f>
        <v>3192000</v>
      </c>
      <c r="R358" s="2004">
        <v>0</v>
      </c>
      <c r="S358" s="2005">
        <f t="shared" ref="S358" si="143">Q358-R358</f>
        <v>3192000</v>
      </c>
      <c r="T358" s="2006"/>
    </row>
    <row r="359" spans="1:20" s="930" customFormat="1" ht="15" customHeight="1">
      <c r="A359" s="617"/>
      <c r="B359" s="632"/>
      <c r="C359" s="719"/>
      <c r="D359" s="632"/>
      <c r="E359" s="725"/>
      <c r="F359" s="2060" t="s">
        <v>2522</v>
      </c>
      <c r="G359" s="2188">
        <v>650000</v>
      </c>
      <c r="H359" s="2106" t="s">
        <v>2423</v>
      </c>
      <c r="I359" s="2108">
        <v>4</v>
      </c>
      <c r="J359" s="2106"/>
      <c r="K359" s="2106"/>
      <c r="L359" s="2189"/>
      <c r="M359" s="2106"/>
      <c r="N359" s="2111"/>
      <c r="O359" s="2111" t="s">
        <v>22</v>
      </c>
      <c r="P359" s="2112">
        <f>PRODUCT(G359:N359)</f>
        <v>2600000</v>
      </c>
      <c r="Q359" s="666"/>
      <c r="R359" s="666"/>
      <c r="S359" s="667"/>
      <c r="T359" s="2113"/>
    </row>
    <row r="360" spans="1:20" s="930" customFormat="1" ht="15" customHeight="1">
      <c r="A360" s="617"/>
      <c r="B360" s="632"/>
      <c r="C360" s="719"/>
      <c r="D360" s="632"/>
      <c r="E360" s="725"/>
      <c r="F360" s="2060" t="s">
        <v>2523</v>
      </c>
      <c r="G360" s="2105">
        <v>5920</v>
      </c>
      <c r="H360" s="2106" t="s">
        <v>2423</v>
      </c>
      <c r="I360" s="2107">
        <v>25</v>
      </c>
      <c r="J360" s="2106" t="s">
        <v>2423</v>
      </c>
      <c r="K360" s="2108">
        <v>4</v>
      </c>
      <c r="L360" s="2109"/>
      <c r="M360" s="2110"/>
      <c r="N360" s="2111"/>
      <c r="O360" s="2111" t="s">
        <v>22</v>
      </c>
      <c r="P360" s="2112">
        <f>PRODUCT(G360:N360)</f>
        <v>592000</v>
      </c>
      <c r="Q360" s="666"/>
      <c r="R360" s="666"/>
      <c r="S360" s="667"/>
      <c r="T360" s="2113"/>
    </row>
    <row r="361" spans="1:20" ht="15" customHeight="1">
      <c r="A361" s="778"/>
      <c r="B361" s="786"/>
      <c r="C361" s="792"/>
      <c r="D361" s="786"/>
      <c r="E361" s="3637" t="s">
        <v>3022</v>
      </c>
      <c r="F361" s="3638"/>
      <c r="G361" s="3638"/>
      <c r="H361" s="3638"/>
      <c r="I361" s="3638"/>
      <c r="J361" s="3638"/>
      <c r="K361" s="3638"/>
      <c r="L361" s="3638"/>
      <c r="M361" s="3638"/>
      <c r="N361" s="3638"/>
      <c r="O361" s="3638"/>
      <c r="P361" s="3639"/>
      <c r="Q361" s="645">
        <f>SUM(P362,P366,P372,P381,P370,P377)</f>
        <v>119032000</v>
      </c>
      <c r="R361" s="645">
        <f>SUM(R362:R391)</f>
        <v>37566000</v>
      </c>
      <c r="S361" s="646">
        <f>Q361-R361</f>
        <v>81466000</v>
      </c>
      <c r="T361" s="647">
        <f>S361/R361</f>
        <v>2.1686099132194006</v>
      </c>
    </row>
    <row r="362" spans="1:20" s="930" customFormat="1" ht="15" customHeight="1">
      <c r="A362" s="617"/>
      <c r="B362" s="632"/>
      <c r="C362" s="719"/>
      <c r="D362" s="632"/>
      <c r="E362" s="725"/>
      <c r="F362" s="2002" t="s">
        <v>1770</v>
      </c>
      <c r="G362" s="1004"/>
      <c r="H362" s="992"/>
      <c r="I362" s="992"/>
      <c r="J362" s="992"/>
      <c r="K362" s="992"/>
      <c r="L362" s="2003"/>
      <c r="M362" s="992"/>
      <c r="N362" s="1022"/>
      <c r="O362" s="1022"/>
      <c r="P362" s="994">
        <f>SUM(P363:P365)</f>
        <v>400000</v>
      </c>
      <c r="Q362" s="1018">
        <f>P362</f>
        <v>400000</v>
      </c>
      <c r="R362" s="2004">
        <v>0</v>
      </c>
      <c r="S362" s="2005">
        <f t="shared" ref="S362" si="144">Q362-R362</f>
        <v>400000</v>
      </c>
      <c r="T362" s="2006"/>
    </row>
    <row r="363" spans="1:20" s="930" customFormat="1" ht="15" customHeight="1">
      <c r="A363" s="617"/>
      <c r="B363" s="632"/>
      <c r="C363" s="719"/>
      <c r="D363" s="632"/>
      <c r="E363" s="725"/>
      <c r="F363" s="2060" t="s">
        <v>2575</v>
      </c>
      <c r="G363" s="1424">
        <v>50000</v>
      </c>
      <c r="H363" s="2061" t="s">
        <v>2423</v>
      </c>
      <c r="I363" s="2062">
        <v>4</v>
      </c>
      <c r="J363" s="2061"/>
      <c r="K363" s="2062"/>
      <c r="L363" s="2091"/>
      <c r="M363" s="2092"/>
      <c r="N363" s="2064"/>
      <c r="O363" s="2064" t="s">
        <v>22</v>
      </c>
      <c r="P363" s="2065">
        <f>PRODUCT(G363:N363)</f>
        <v>200000</v>
      </c>
      <c r="Q363" s="694"/>
      <c r="R363" s="694"/>
      <c r="S363" s="695"/>
      <c r="T363" s="2089"/>
    </row>
    <row r="364" spans="1:20" s="930" customFormat="1" ht="15" customHeight="1">
      <c r="A364" s="617"/>
      <c r="B364" s="632"/>
      <c r="C364" s="719"/>
      <c r="D364" s="632"/>
      <c r="E364" s="725"/>
      <c r="F364" s="2060" t="s">
        <v>2576</v>
      </c>
      <c r="G364" s="1424">
        <v>40000</v>
      </c>
      <c r="H364" s="2061" t="s">
        <v>2423</v>
      </c>
      <c r="I364" s="2062">
        <v>4</v>
      </c>
      <c r="J364" s="2061"/>
      <c r="K364" s="2062"/>
      <c r="L364" s="2091"/>
      <c r="M364" s="2092"/>
      <c r="N364" s="2064"/>
      <c r="O364" s="2064" t="s">
        <v>22</v>
      </c>
      <c r="P364" s="2065">
        <f>PRODUCT(G364:N364)</f>
        <v>160000</v>
      </c>
      <c r="Q364" s="694"/>
      <c r="R364" s="694"/>
      <c r="S364" s="695"/>
      <c r="T364" s="2089"/>
    </row>
    <row r="365" spans="1:20" s="930" customFormat="1" ht="15" customHeight="1">
      <c r="A365" s="617"/>
      <c r="B365" s="632"/>
      <c r="C365" s="719"/>
      <c r="D365" s="632"/>
      <c r="E365" s="725"/>
      <c r="F365" s="2060" t="s">
        <v>2577</v>
      </c>
      <c r="G365" s="1424">
        <v>10000</v>
      </c>
      <c r="H365" s="2061" t="s">
        <v>2423</v>
      </c>
      <c r="I365" s="2066">
        <v>4</v>
      </c>
      <c r="J365" s="2061"/>
      <c r="K365" s="2062"/>
      <c r="L365" s="2091"/>
      <c r="M365" s="2092"/>
      <c r="N365" s="2064"/>
      <c r="O365" s="2064" t="s">
        <v>22</v>
      </c>
      <c r="P365" s="2065">
        <f>PRODUCT(G365:N365)</f>
        <v>40000</v>
      </c>
      <c r="Q365" s="694"/>
      <c r="R365" s="694"/>
      <c r="S365" s="695"/>
      <c r="T365" s="2089"/>
    </row>
    <row r="366" spans="1:20" s="930" customFormat="1" ht="15" customHeight="1">
      <c r="A366" s="617"/>
      <c r="B366" s="632"/>
      <c r="C366" s="719"/>
      <c r="D366" s="632"/>
      <c r="E366" s="725"/>
      <c r="F366" s="2002" t="s">
        <v>1771</v>
      </c>
      <c r="G366" s="1004"/>
      <c r="H366" s="992"/>
      <c r="I366" s="992"/>
      <c r="J366" s="992"/>
      <c r="K366" s="992"/>
      <c r="L366" s="2003"/>
      <c r="M366" s="992"/>
      <c r="N366" s="1022"/>
      <c r="O366" s="1022"/>
      <c r="P366" s="994">
        <f>SUM(P367:P369)</f>
        <v>9200000</v>
      </c>
      <c r="Q366" s="1018">
        <f>P366</f>
        <v>9200000</v>
      </c>
      <c r="R366" s="2004">
        <v>5000000</v>
      </c>
      <c r="S366" s="2005">
        <f t="shared" ref="S366" si="145">Q366-R366</f>
        <v>4200000</v>
      </c>
      <c r="T366" s="2006">
        <f t="shared" ref="T366" si="146">S366/R366</f>
        <v>0.84</v>
      </c>
    </row>
    <row r="367" spans="1:20" s="930" customFormat="1" ht="15" customHeight="1">
      <c r="A367" s="617"/>
      <c r="B367" s="632"/>
      <c r="C367" s="719"/>
      <c r="D367" s="632"/>
      <c r="E367" s="725"/>
      <c r="F367" s="1528" t="s">
        <v>2578</v>
      </c>
      <c r="G367" s="2035">
        <v>1700000</v>
      </c>
      <c r="H367" s="2190" t="s">
        <v>21</v>
      </c>
      <c r="I367" s="2178">
        <v>4</v>
      </c>
      <c r="J367" s="2190"/>
      <c r="K367" s="690"/>
      <c r="L367" s="2191"/>
      <c r="M367" s="663"/>
      <c r="N367" s="2192"/>
      <c r="O367" s="2192" t="s">
        <v>22</v>
      </c>
      <c r="P367" s="2193">
        <f>G367*I367</f>
        <v>6800000</v>
      </c>
      <c r="Q367" s="2194"/>
      <c r="R367" s="2021"/>
      <c r="S367" s="2022"/>
      <c r="T367" s="2023"/>
    </row>
    <row r="368" spans="1:20" s="930" customFormat="1" ht="15" customHeight="1">
      <c r="A368" s="617"/>
      <c r="B368" s="632"/>
      <c r="C368" s="719"/>
      <c r="D368" s="632"/>
      <c r="E368" s="725"/>
      <c r="F368" s="1528" t="s">
        <v>2579</v>
      </c>
      <c r="G368" s="2035">
        <v>600000</v>
      </c>
      <c r="H368" s="2190" t="s">
        <v>21</v>
      </c>
      <c r="I368" s="2178">
        <v>2</v>
      </c>
      <c r="J368" s="2190"/>
      <c r="K368" s="690"/>
      <c r="L368" s="2191"/>
      <c r="M368" s="663"/>
      <c r="N368" s="2192"/>
      <c r="O368" s="2192" t="s">
        <v>22</v>
      </c>
      <c r="P368" s="2193">
        <f>G368*I368</f>
        <v>1200000</v>
      </c>
      <c r="Q368" s="2194"/>
      <c r="R368" s="2021"/>
      <c r="S368" s="2022"/>
      <c r="T368" s="2023"/>
    </row>
    <row r="369" spans="1:20" s="930" customFormat="1" ht="15" customHeight="1">
      <c r="A369" s="617"/>
      <c r="B369" s="632"/>
      <c r="C369" s="719"/>
      <c r="D369" s="632"/>
      <c r="E369" s="725"/>
      <c r="F369" s="2195" t="s">
        <v>2580</v>
      </c>
      <c r="G369" s="2196">
        <v>300000</v>
      </c>
      <c r="H369" s="2197" t="s">
        <v>21</v>
      </c>
      <c r="I369" s="2198">
        <v>4</v>
      </c>
      <c r="J369" s="2197"/>
      <c r="K369" s="2199"/>
      <c r="L369" s="2200"/>
      <c r="M369" s="2201"/>
      <c r="N369" s="2202"/>
      <c r="O369" s="2202" t="s">
        <v>22</v>
      </c>
      <c r="P369" s="2203">
        <f>G369*I369</f>
        <v>1200000</v>
      </c>
      <c r="Q369" s="2194"/>
      <c r="R369" s="2021"/>
      <c r="S369" s="2022"/>
      <c r="T369" s="2023"/>
    </row>
    <row r="370" spans="1:20" s="930" customFormat="1" ht="15" customHeight="1">
      <c r="A370" s="617"/>
      <c r="B370" s="632"/>
      <c r="C370" s="719"/>
      <c r="D370" s="632"/>
      <c r="E370" s="3291"/>
      <c r="F370" s="2002" t="s">
        <v>1720</v>
      </c>
      <c r="G370" s="1004"/>
      <c r="H370" s="992"/>
      <c r="I370" s="992"/>
      <c r="J370" s="992"/>
      <c r="K370" s="992"/>
      <c r="L370" s="2003"/>
      <c r="M370" s="992"/>
      <c r="N370" s="1022"/>
      <c r="O370" s="1022"/>
      <c r="P370" s="994">
        <f>SUM(P371:P371)</f>
        <v>1000000</v>
      </c>
      <c r="Q370" s="1018">
        <f>P370</f>
        <v>1000000</v>
      </c>
      <c r="R370" s="2004">
        <v>0</v>
      </c>
      <c r="S370" s="2005">
        <f t="shared" ref="S370" si="147">Q370-R370</f>
        <v>1000000</v>
      </c>
      <c r="T370" s="2006"/>
    </row>
    <row r="371" spans="1:20" s="930" customFormat="1" ht="15" customHeight="1">
      <c r="A371" s="617"/>
      <c r="B371" s="632"/>
      <c r="C371" s="719"/>
      <c r="D371" s="632"/>
      <c r="E371" s="3291"/>
      <c r="F371" s="2060" t="s">
        <v>2530</v>
      </c>
      <c r="G371" s="1459">
        <v>500000</v>
      </c>
      <c r="H371" s="2061" t="s">
        <v>2529</v>
      </c>
      <c r="I371" s="2062">
        <v>2</v>
      </c>
      <c r="J371" s="2061"/>
      <c r="K371" s="2061"/>
      <c r="L371" s="2063"/>
      <c r="M371" s="2061"/>
      <c r="N371" s="2064"/>
      <c r="O371" s="2064" t="s">
        <v>22</v>
      </c>
      <c r="P371" s="2065">
        <f>PRODUCT(G371:N371)</f>
        <v>1000000</v>
      </c>
      <c r="Q371" s="694"/>
      <c r="R371" s="694"/>
      <c r="S371" s="695"/>
      <c r="T371" s="2089"/>
    </row>
    <row r="372" spans="1:20" s="930" customFormat="1" ht="15" customHeight="1">
      <c r="A372" s="617"/>
      <c r="B372" s="632"/>
      <c r="C372" s="719"/>
      <c r="D372" s="632"/>
      <c r="E372" s="725"/>
      <c r="F372" s="2002" t="s">
        <v>1772</v>
      </c>
      <c r="G372" s="1004"/>
      <c r="H372" s="992"/>
      <c r="I372" s="992"/>
      <c r="J372" s="992"/>
      <c r="K372" s="992"/>
      <c r="L372" s="2003"/>
      <c r="M372" s="992"/>
      <c r="N372" s="1022"/>
      <c r="O372" s="1022"/>
      <c r="P372" s="994">
        <f>SUM(P373:P376)</f>
        <v>5000000</v>
      </c>
      <c r="Q372" s="1018">
        <f>P372</f>
        <v>5000000</v>
      </c>
      <c r="R372" s="2004">
        <v>0</v>
      </c>
      <c r="S372" s="2005">
        <f t="shared" ref="S372" si="148">Q372-R372</f>
        <v>5000000</v>
      </c>
      <c r="T372" s="2006"/>
    </row>
    <row r="373" spans="1:20" s="930" customFormat="1" ht="15" customHeight="1">
      <c r="A373" s="759"/>
      <c r="B373" s="703"/>
      <c r="C373" s="619"/>
      <c r="D373" s="703"/>
      <c r="E373" s="726"/>
      <c r="F373" s="3039" t="s">
        <v>2581</v>
      </c>
      <c r="G373" s="2187">
        <v>50000</v>
      </c>
      <c r="H373" s="2099" t="s">
        <v>454</v>
      </c>
      <c r="I373" s="2100">
        <v>5</v>
      </c>
      <c r="J373" s="2099"/>
      <c r="K373" s="3040"/>
      <c r="L373" s="3041"/>
      <c r="M373" s="3040"/>
      <c r="N373" s="2102"/>
      <c r="O373" s="2102" t="s">
        <v>22</v>
      </c>
      <c r="P373" s="2081">
        <f>PRODUCT(G373:N373)</f>
        <v>250000</v>
      </c>
      <c r="Q373" s="712"/>
      <c r="R373" s="712"/>
      <c r="S373" s="713"/>
      <c r="T373" s="2103"/>
    </row>
    <row r="374" spans="1:20" s="930" customFormat="1" ht="15" customHeight="1">
      <c r="A374" s="617"/>
      <c r="B374" s="632"/>
      <c r="C374" s="719"/>
      <c r="D374" s="632"/>
      <c r="E374" s="725"/>
      <c r="F374" s="2204" t="s">
        <v>2582</v>
      </c>
      <c r="G374" s="2093">
        <v>250000</v>
      </c>
      <c r="H374" s="2061" t="s">
        <v>454</v>
      </c>
      <c r="I374" s="2062">
        <v>3</v>
      </c>
      <c r="J374" s="2061"/>
      <c r="K374" s="2092"/>
      <c r="L374" s="2091"/>
      <c r="M374" s="2092"/>
      <c r="N374" s="2064"/>
      <c r="O374" s="2064" t="s">
        <v>22</v>
      </c>
      <c r="P374" s="2065">
        <f>PRODUCT(G374:N374)</f>
        <v>750000</v>
      </c>
      <c r="Q374" s="694"/>
      <c r="R374" s="694"/>
      <c r="S374" s="695"/>
      <c r="T374" s="2089"/>
    </row>
    <row r="375" spans="1:20" s="930" customFormat="1" ht="15" customHeight="1">
      <c r="A375" s="617"/>
      <c r="B375" s="632"/>
      <c r="C375" s="719"/>
      <c r="D375" s="632"/>
      <c r="E375" s="725"/>
      <c r="F375" s="2060" t="s">
        <v>2583</v>
      </c>
      <c r="G375" s="2093">
        <v>150000</v>
      </c>
      <c r="H375" s="2061" t="s">
        <v>454</v>
      </c>
      <c r="I375" s="2066">
        <v>1</v>
      </c>
      <c r="J375" s="2061" t="s">
        <v>454</v>
      </c>
      <c r="K375" s="2062">
        <v>10</v>
      </c>
      <c r="L375" s="2063"/>
      <c r="M375" s="2061"/>
      <c r="N375" s="2064"/>
      <c r="O375" s="2064" t="s">
        <v>22</v>
      </c>
      <c r="P375" s="2065">
        <f>PRODUCT(G375:N375)</f>
        <v>1500000</v>
      </c>
      <c r="Q375" s="694"/>
      <c r="R375" s="694"/>
      <c r="S375" s="695"/>
      <c r="T375" s="2089"/>
    </row>
    <row r="376" spans="1:20" s="930" customFormat="1" ht="15" customHeight="1">
      <c r="A376" s="617"/>
      <c r="B376" s="632"/>
      <c r="C376" s="719"/>
      <c r="D376" s="632"/>
      <c r="E376" s="725"/>
      <c r="F376" s="2060" t="s">
        <v>2584</v>
      </c>
      <c r="G376" s="2094">
        <v>250000</v>
      </c>
      <c r="H376" s="2061" t="s">
        <v>454</v>
      </c>
      <c r="I376" s="2062">
        <v>10</v>
      </c>
      <c r="J376" s="2061"/>
      <c r="K376" s="2062"/>
      <c r="L376" s="2091"/>
      <c r="M376" s="2092"/>
      <c r="N376" s="2064"/>
      <c r="O376" s="2064" t="s">
        <v>22</v>
      </c>
      <c r="P376" s="2065">
        <f>PRODUCT(G376:N376)</f>
        <v>2500000</v>
      </c>
      <c r="Q376" s="694"/>
      <c r="R376" s="694"/>
      <c r="S376" s="695"/>
      <c r="T376" s="2089"/>
    </row>
    <row r="377" spans="1:20" s="930" customFormat="1" ht="15" customHeight="1">
      <c r="A377" s="617"/>
      <c r="B377" s="632"/>
      <c r="C377" s="719"/>
      <c r="D377" s="632"/>
      <c r="E377" s="3291"/>
      <c r="F377" s="2002" t="s">
        <v>1721</v>
      </c>
      <c r="G377" s="1004"/>
      <c r="H377" s="992"/>
      <c r="I377" s="992"/>
      <c r="J377" s="992"/>
      <c r="K377" s="992"/>
      <c r="L377" s="2003"/>
      <c r="M377" s="992"/>
      <c r="N377" s="1022"/>
      <c r="O377" s="1022"/>
      <c r="P377" s="994">
        <f>SUM(P378:P380)</f>
        <v>2500000</v>
      </c>
      <c r="Q377" s="1018">
        <f>P377</f>
        <v>2500000</v>
      </c>
      <c r="R377" s="2004">
        <v>0</v>
      </c>
      <c r="S377" s="2005">
        <f t="shared" ref="S377" si="149">Q377-R377</f>
        <v>2500000</v>
      </c>
      <c r="T377" s="2006"/>
    </row>
    <row r="378" spans="1:20" s="930" customFormat="1" ht="15" customHeight="1">
      <c r="A378" s="617"/>
      <c r="B378" s="632"/>
      <c r="C378" s="719"/>
      <c r="D378" s="632"/>
      <c r="E378" s="3291"/>
      <c r="F378" s="2060" t="s">
        <v>2536</v>
      </c>
      <c r="G378" s="2205">
        <v>300000</v>
      </c>
      <c r="H378" s="2106" t="s">
        <v>454</v>
      </c>
      <c r="I378" s="2108">
        <v>3</v>
      </c>
      <c r="J378" s="2106"/>
      <c r="K378" s="2108"/>
      <c r="L378" s="2109"/>
      <c r="M378" s="2110"/>
      <c r="N378" s="2111"/>
      <c r="O378" s="2111" t="s">
        <v>22</v>
      </c>
      <c r="P378" s="2112">
        <f t="shared" ref="P378:P380" si="150">PRODUCT(G378:N378)</f>
        <v>900000</v>
      </c>
      <c r="Q378" s="666"/>
      <c r="R378" s="666"/>
      <c r="S378" s="667"/>
      <c r="T378" s="2113"/>
    </row>
    <row r="379" spans="1:20" s="930" customFormat="1" ht="15" customHeight="1">
      <c r="A379" s="617"/>
      <c r="B379" s="632"/>
      <c r="C379" s="719"/>
      <c r="D379" s="632"/>
      <c r="E379" s="3291"/>
      <c r="F379" s="2060" t="s">
        <v>2537</v>
      </c>
      <c r="G379" s="2205">
        <v>100000</v>
      </c>
      <c r="H379" s="2106" t="s">
        <v>454</v>
      </c>
      <c r="I379" s="2107">
        <v>2</v>
      </c>
      <c r="J379" s="2106" t="s">
        <v>454</v>
      </c>
      <c r="K379" s="2108">
        <v>3</v>
      </c>
      <c r="L379" s="2109"/>
      <c r="M379" s="2110"/>
      <c r="N379" s="2111"/>
      <c r="O379" s="2111" t="s">
        <v>22</v>
      </c>
      <c r="P379" s="2112">
        <f t="shared" si="150"/>
        <v>600000</v>
      </c>
      <c r="Q379" s="666"/>
      <c r="R379" s="666"/>
      <c r="S379" s="667"/>
      <c r="T379" s="2113"/>
    </row>
    <row r="380" spans="1:20" s="930" customFormat="1" ht="15" customHeight="1">
      <c r="A380" s="617"/>
      <c r="B380" s="632"/>
      <c r="C380" s="719"/>
      <c r="D380" s="632"/>
      <c r="E380" s="3291"/>
      <c r="F380" s="2060" t="s">
        <v>2538</v>
      </c>
      <c r="G380" s="2205">
        <v>250000</v>
      </c>
      <c r="H380" s="2106" t="s">
        <v>454</v>
      </c>
      <c r="I380" s="2108">
        <v>4</v>
      </c>
      <c r="J380" s="2106"/>
      <c r="K380" s="2108"/>
      <c r="L380" s="2109"/>
      <c r="M380" s="2110"/>
      <c r="N380" s="2111"/>
      <c r="O380" s="2111" t="s">
        <v>22</v>
      </c>
      <c r="P380" s="2112">
        <f t="shared" si="150"/>
        <v>1000000</v>
      </c>
      <c r="Q380" s="666"/>
      <c r="R380" s="666"/>
      <c r="S380" s="667"/>
      <c r="T380" s="2113"/>
    </row>
    <row r="381" spans="1:20" s="930" customFormat="1" ht="15" customHeight="1">
      <c r="A381" s="617"/>
      <c r="B381" s="632"/>
      <c r="C381" s="719"/>
      <c r="D381" s="632"/>
      <c r="E381" s="725"/>
      <c r="F381" s="2002" t="s">
        <v>1773</v>
      </c>
      <c r="G381" s="1004"/>
      <c r="H381" s="992"/>
      <c r="I381" s="992"/>
      <c r="J381" s="992"/>
      <c r="K381" s="992"/>
      <c r="L381" s="2003"/>
      <c r="M381" s="992"/>
      <c r="N381" s="1022"/>
      <c r="O381" s="1022"/>
      <c r="P381" s="994">
        <f>SUM(P382:P391)</f>
        <v>100932000</v>
      </c>
      <c r="Q381" s="1018">
        <f>P381</f>
        <v>100932000</v>
      </c>
      <c r="R381" s="2004">
        <v>32566000</v>
      </c>
      <c r="S381" s="2005">
        <f t="shared" ref="S381" si="151">Q381-R381</f>
        <v>68366000</v>
      </c>
      <c r="T381" s="2006">
        <f t="shared" ref="T381" si="152">S381/R381</f>
        <v>2.0993060246883251</v>
      </c>
    </row>
    <row r="382" spans="1:20" s="930" customFormat="1" ht="15" customHeight="1">
      <c r="A382" s="617"/>
      <c r="B382" s="632"/>
      <c r="C382" s="641"/>
      <c r="D382" s="632"/>
      <c r="E382" s="725"/>
      <c r="F382" s="2185" t="s">
        <v>2585</v>
      </c>
      <c r="G382" s="2035">
        <v>4688000</v>
      </c>
      <c r="H382" s="996" t="s">
        <v>2411</v>
      </c>
      <c r="I382" s="1000">
        <v>12</v>
      </c>
      <c r="J382" s="996"/>
      <c r="K382" s="1000"/>
      <c r="L382" s="2036"/>
      <c r="M382" s="1000"/>
      <c r="N382" s="1001"/>
      <c r="O382" s="1001" t="s">
        <v>2412</v>
      </c>
      <c r="P382" s="2065">
        <f t="shared" ref="P382:P387" si="153">PRODUCT(G382:N382)</f>
        <v>56256000</v>
      </c>
      <c r="Q382" s="806"/>
      <c r="R382" s="2021"/>
      <c r="S382" s="2022"/>
      <c r="T382" s="2023"/>
    </row>
    <row r="383" spans="1:20" s="930" customFormat="1" ht="15" customHeight="1">
      <c r="A383" s="617"/>
      <c r="B383" s="632"/>
      <c r="C383" s="641"/>
      <c r="D383" s="632"/>
      <c r="E383" s="725"/>
      <c r="F383" s="2185" t="s">
        <v>2586</v>
      </c>
      <c r="G383" s="2035">
        <v>300000</v>
      </c>
      <c r="H383" s="996" t="s">
        <v>2411</v>
      </c>
      <c r="I383" s="2151">
        <v>1</v>
      </c>
      <c r="J383" s="996"/>
      <c r="K383" s="1000"/>
      <c r="L383" s="2036"/>
      <c r="M383" s="1000"/>
      <c r="N383" s="1001"/>
      <c r="O383" s="1001" t="s">
        <v>2587</v>
      </c>
      <c r="P383" s="2065">
        <f t="shared" si="153"/>
        <v>300000</v>
      </c>
      <c r="Q383" s="806"/>
      <c r="R383" s="2021"/>
      <c r="S383" s="2022"/>
      <c r="T383" s="2023"/>
    </row>
    <row r="384" spans="1:20" s="930" customFormat="1" ht="15" customHeight="1">
      <c r="A384" s="617"/>
      <c r="B384" s="632"/>
      <c r="C384" s="641"/>
      <c r="D384" s="632"/>
      <c r="E384" s="725"/>
      <c r="F384" s="2185" t="s">
        <v>2588</v>
      </c>
      <c r="G384" s="2035">
        <v>7000</v>
      </c>
      <c r="H384" s="996" t="s">
        <v>2411</v>
      </c>
      <c r="I384" s="2133">
        <v>20</v>
      </c>
      <c r="J384" s="996" t="s">
        <v>21</v>
      </c>
      <c r="K384" s="2151">
        <v>1</v>
      </c>
      <c r="L384" s="2036"/>
      <c r="M384" s="1000"/>
      <c r="N384" s="1001"/>
      <c r="O384" s="1001" t="s">
        <v>129</v>
      </c>
      <c r="P384" s="2065">
        <f t="shared" si="153"/>
        <v>140000</v>
      </c>
      <c r="Q384" s="806"/>
      <c r="R384" s="2021"/>
      <c r="S384" s="2022"/>
      <c r="T384" s="2023"/>
    </row>
    <row r="385" spans="1:20" s="930" customFormat="1" ht="15" customHeight="1">
      <c r="A385" s="617"/>
      <c r="B385" s="632"/>
      <c r="C385" s="641"/>
      <c r="D385" s="632"/>
      <c r="E385" s="725"/>
      <c r="F385" s="2185" t="s">
        <v>2589</v>
      </c>
      <c r="G385" s="2035">
        <v>3000</v>
      </c>
      <c r="H385" s="996" t="s">
        <v>2411</v>
      </c>
      <c r="I385" s="2133">
        <v>20</v>
      </c>
      <c r="J385" s="996" t="s">
        <v>21</v>
      </c>
      <c r="K385" s="2151">
        <v>1</v>
      </c>
      <c r="L385" s="2036"/>
      <c r="M385" s="1000"/>
      <c r="N385" s="1001"/>
      <c r="O385" s="1001" t="s">
        <v>409</v>
      </c>
      <c r="P385" s="2065">
        <f t="shared" si="153"/>
        <v>60000</v>
      </c>
      <c r="Q385" s="806"/>
      <c r="R385" s="2021"/>
      <c r="S385" s="2022"/>
      <c r="T385" s="2023"/>
    </row>
    <row r="386" spans="1:20" s="930" customFormat="1" ht="15" customHeight="1">
      <c r="A386" s="617"/>
      <c r="B386" s="632"/>
      <c r="C386" s="641"/>
      <c r="D386" s="632"/>
      <c r="E386" s="725"/>
      <c r="F386" s="2185" t="s">
        <v>2590</v>
      </c>
      <c r="G386" s="2035">
        <v>400000</v>
      </c>
      <c r="H386" s="996" t="s">
        <v>912</v>
      </c>
      <c r="I386" s="1000">
        <v>12</v>
      </c>
      <c r="J386" s="996"/>
      <c r="K386" s="1000"/>
      <c r="L386" s="2036"/>
      <c r="M386" s="1000"/>
      <c r="N386" s="1001"/>
      <c r="O386" s="1001" t="s">
        <v>129</v>
      </c>
      <c r="P386" s="2065">
        <f t="shared" si="153"/>
        <v>4800000</v>
      </c>
      <c r="Q386" s="806"/>
      <c r="R386" s="2021"/>
      <c r="S386" s="2022"/>
      <c r="T386" s="2023"/>
    </row>
    <row r="387" spans="1:20" s="930" customFormat="1" ht="15" customHeight="1">
      <c r="A387" s="617"/>
      <c r="B387" s="632"/>
      <c r="C387" s="641"/>
      <c r="D387" s="632"/>
      <c r="E387" s="725"/>
      <c r="F387" s="2185" t="s">
        <v>2591</v>
      </c>
      <c r="G387" s="2035">
        <v>300000</v>
      </c>
      <c r="H387" s="996" t="s">
        <v>912</v>
      </c>
      <c r="I387" s="1000">
        <v>12</v>
      </c>
      <c r="J387" s="996"/>
      <c r="K387" s="1000"/>
      <c r="L387" s="2036"/>
      <c r="M387" s="1000"/>
      <c r="N387" s="1001"/>
      <c r="O387" s="1001" t="s">
        <v>2412</v>
      </c>
      <c r="P387" s="2065">
        <f t="shared" si="153"/>
        <v>3600000</v>
      </c>
      <c r="Q387" s="806"/>
      <c r="R387" s="2021"/>
      <c r="S387" s="2022"/>
      <c r="T387" s="2023"/>
    </row>
    <row r="388" spans="1:20" s="930" customFormat="1" ht="15" customHeight="1">
      <c r="A388" s="617"/>
      <c r="B388" s="632"/>
      <c r="C388" s="641"/>
      <c r="D388" s="632"/>
      <c r="E388" s="725"/>
      <c r="F388" s="2185" t="s">
        <v>2592</v>
      </c>
      <c r="G388" s="2035">
        <v>112512000</v>
      </c>
      <c r="H388" s="996" t="s">
        <v>2411</v>
      </c>
      <c r="I388" s="2186">
        <v>0.03</v>
      </c>
      <c r="J388" s="996"/>
      <c r="K388" s="1000"/>
      <c r="L388" s="2036"/>
      <c r="M388" s="1000"/>
      <c r="N388" s="1001"/>
      <c r="O388" s="1001" t="s">
        <v>2412</v>
      </c>
      <c r="P388" s="2037">
        <f>ROUNDUP(G388*I388,-3)</f>
        <v>3376000</v>
      </c>
      <c r="Q388" s="806"/>
      <c r="R388" s="2021"/>
      <c r="S388" s="2022"/>
      <c r="T388" s="2023"/>
    </row>
    <row r="389" spans="1:20" s="930" customFormat="1" ht="15" customHeight="1">
      <c r="A389" s="617"/>
      <c r="B389" s="632"/>
      <c r="C389" s="641"/>
      <c r="D389" s="632"/>
      <c r="E389" s="725"/>
      <c r="F389" s="2185" t="s">
        <v>2593</v>
      </c>
      <c r="G389" s="2035">
        <v>2150000</v>
      </c>
      <c r="H389" s="996" t="s">
        <v>912</v>
      </c>
      <c r="I389" s="1000">
        <v>12</v>
      </c>
      <c r="J389" s="996"/>
      <c r="K389" s="1000"/>
      <c r="L389" s="2036"/>
      <c r="M389" s="1000"/>
      <c r="N389" s="1001"/>
      <c r="O389" s="1001" t="s">
        <v>2412</v>
      </c>
      <c r="P389" s="2065">
        <f>PRODUCT(G389:N389)</f>
        <v>25800000</v>
      </c>
      <c r="Q389" s="806"/>
      <c r="R389" s="2021"/>
      <c r="S389" s="2022"/>
      <c r="T389" s="2023"/>
    </row>
    <row r="390" spans="1:20" s="930" customFormat="1" ht="15" customHeight="1">
      <c r="A390" s="617"/>
      <c r="B390" s="632"/>
      <c r="C390" s="641"/>
      <c r="D390" s="632"/>
      <c r="E390" s="725"/>
      <c r="F390" s="2185" t="s">
        <v>2594</v>
      </c>
      <c r="G390" s="2035">
        <v>450000</v>
      </c>
      <c r="H390" s="996" t="s">
        <v>912</v>
      </c>
      <c r="I390" s="2151">
        <v>4</v>
      </c>
      <c r="J390" s="996"/>
      <c r="K390" s="1000"/>
      <c r="L390" s="2036"/>
      <c r="M390" s="1000"/>
      <c r="N390" s="1001"/>
      <c r="O390" s="1001" t="s">
        <v>2412</v>
      </c>
      <c r="P390" s="2065">
        <f>PRODUCT(G390:N390)</f>
        <v>1800000</v>
      </c>
      <c r="Q390" s="806"/>
      <c r="R390" s="2021"/>
      <c r="S390" s="2022"/>
      <c r="T390" s="2023"/>
    </row>
    <row r="391" spans="1:20" s="930" customFormat="1" ht="15" customHeight="1">
      <c r="A391" s="617"/>
      <c r="B391" s="632"/>
      <c r="C391" s="618"/>
      <c r="D391" s="703"/>
      <c r="E391" s="726"/>
      <c r="F391" s="2206" t="s">
        <v>2595</v>
      </c>
      <c r="G391" s="2207">
        <v>1200000</v>
      </c>
      <c r="H391" s="2153" t="s">
        <v>912</v>
      </c>
      <c r="I391" s="2208">
        <v>4</v>
      </c>
      <c r="J391" s="2153"/>
      <c r="K391" s="2155"/>
      <c r="L391" s="2156"/>
      <c r="M391" s="2155"/>
      <c r="N391" s="2157"/>
      <c r="O391" s="2157" t="s">
        <v>2412</v>
      </c>
      <c r="P391" s="2081">
        <f>PRODUCT(G391:N391)</f>
        <v>4800000</v>
      </c>
      <c r="Q391" s="828"/>
      <c r="R391" s="2030"/>
      <c r="S391" s="2031"/>
      <c r="T391" s="2209"/>
    </row>
    <row r="392" spans="1:20" ht="15" customHeight="1">
      <c r="A392" s="778"/>
      <c r="B392" s="786"/>
      <c r="C392" s="3685" t="s">
        <v>259</v>
      </c>
      <c r="D392" s="3686"/>
      <c r="E392" s="3686"/>
      <c r="F392" s="3686"/>
      <c r="G392" s="3686"/>
      <c r="H392" s="3686"/>
      <c r="I392" s="3686"/>
      <c r="J392" s="3686"/>
      <c r="K392" s="3686"/>
      <c r="L392" s="3686"/>
      <c r="M392" s="3686"/>
      <c r="N392" s="3686"/>
      <c r="O392" s="3686"/>
      <c r="P392" s="3687"/>
      <c r="Q392" s="866">
        <f>SUM(Q393)</f>
        <v>233000</v>
      </c>
      <c r="R392" s="866">
        <f>SUM(R393)</f>
        <v>233000</v>
      </c>
      <c r="S392" s="624">
        <f>Q392-R392</f>
        <v>0</v>
      </c>
      <c r="T392" s="2210">
        <f t="shared" ref="T392:T393" si="154">S392/R392</f>
        <v>0</v>
      </c>
    </row>
    <row r="393" spans="1:20" ht="15" customHeight="1">
      <c r="A393" s="778"/>
      <c r="B393" s="786"/>
      <c r="C393" s="786"/>
      <c r="D393" s="684" t="s">
        <v>223</v>
      </c>
      <c r="E393" s="2229"/>
      <c r="F393" s="1269"/>
      <c r="G393" s="636"/>
      <c r="H393" s="635"/>
      <c r="I393" s="635"/>
      <c r="J393" s="635"/>
      <c r="K393" s="635"/>
      <c r="L393" s="1268"/>
      <c r="M393" s="635"/>
      <c r="N393" s="637"/>
      <c r="O393" s="637"/>
      <c r="P393" s="635"/>
      <c r="Q393" s="638">
        <f>Q394</f>
        <v>233000</v>
      </c>
      <c r="R393" s="638">
        <f>R394</f>
        <v>233000</v>
      </c>
      <c r="S393" s="793">
        <f>Q393-R393</f>
        <v>0</v>
      </c>
      <c r="T393" s="873">
        <f t="shared" si="154"/>
        <v>0</v>
      </c>
    </row>
    <row r="394" spans="1:20" ht="15" customHeight="1">
      <c r="A394" s="778"/>
      <c r="B394" s="786"/>
      <c r="C394" s="792"/>
      <c r="D394" s="786"/>
      <c r="E394" s="3637" t="s">
        <v>3127</v>
      </c>
      <c r="F394" s="3638"/>
      <c r="G394" s="3638"/>
      <c r="H394" s="3638"/>
      <c r="I394" s="3638"/>
      <c r="J394" s="3638"/>
      <c r="K394" s="3638"/>
      <c r="L394" s="3638"/>
      <c r="M394" s="3638"/>
      <c r="N394" s="3638"/>
      <c r="O394" s="3638"/>
      <c r="P394" s="3639"/>
      <c r="Q394" s="645">
        <f>P395</f>
        <v>233000</v>
      </c>
      <c r="R394" s="645">
        <v>233000</v>
      </c>
      <c r="S394" s="646">
        <f>Q394-R394</f>
        <v>0</v>
      </c>
      <c r="T394" s="647">
        <f t="shared" ref="T394:T395" si="155">S394/R394</f>
        <v>0</v>
      </c>
    </row>
    <row r="395" spans="1:20" ht="15" customHeight="1">
      <c r="A395" s="778"/>
      <c r="B395" s="786"/>
      <c r="C395" s="792"/>
      <c r="D395" s="786"/>
      <c r="E395" s="1164"/>
      <c r="F395" s="2002" t="s">
        <v>1774</v>
      </c>
      <c r="G395" s="1004"/>
      <c r="H395" s="992"/>
      <c r="I395" s="992"/>
      <c r="J395" s="992"/>
      <c r="K395" s="992"/>
      <c r="L395" s="2003"/>
      <c r="M395" s="992"/>
      <c r="N395" s="1022"/>
      <c r="O395" s="1022"/>
      <c r="P395" s="994">
        <f>P396</f>
        <v>233000</v>
      </c>
      <c r="Q395" s="1018">
        <f>P395</f>
        <v>233000</v>
      </c>
      <c r="R395" s="2004">
        <v>233000</v>
      </c>
      <c r="S395" s="2005">
        <f t="shared" ref="S395" si="156">Q395-R395</f>
        <v>0</v>
      </c>
      <c r="T395" s="2006">
        <f t="shared" si="155"/>
        <v>0</v>
      </c>
    </row>
    <row r="396" spans="1:20" s="495" customFormat="1" ht="15" customHeight="1" thickBot="1">
      <c r="A396" s="2211"/>
      <c r="B396" s="588"/>
      <c r="C396" s="588"/>
      <c r="D396" s="588"/>
      <c r="E396" s="3298"/>
      <c r="F396" s="2212" t="s">
        <v>1775</v>
      </c>
      <c r="G396" s="2213">
        <v>233000</v>
      </c>
      <c r="H396" s="2214" t="s">
        <v>1741</v>
      </c>
      <c r="I396" s="2215">
        <v>1</v>
      </c>
      <c r="J396" s="2214"/>
      <c r="K396" s="2216"/>
      <c r="L396" s="2214"/>
      <c r="M396" s="2214"/>
      <c r="N396" s="2217"/>
      <c r="O396" s="2217" t="s">
        <v>1695</v>
      </c>
      <c r="P396" s="2218">
        <f>G396*I396</f>
        <v>233000</v>
      </c>
      <c r="Q396" s="1108"/>
      <c r="R396" s="1108"/>
      <c r="S396" s="1110"/>
      <c r="T396" s="2219"/>
    </row>
    <row r="397" spans="1:20">
      <c r="P397" s="2220"/>
      <c r="R397" s="842"/>
    </row>
  </sheetData>
  <mergeCells count="60">
    <mergeCell ref="A1:T1"/>
    <mergeCell ref="S2:T2"/>
    <mergeCell ref="A3:E3"/>
    <mergeCell ref="G3:P4"/>
    <mergeCell ref="Q3:Q4"/>
    <mergeCell ref="R3:R4"/>
    <mergeCell ref="S3:S4"/>
    <mergeCell ref="T3:T4"/>
    <mergeCell ref="K34:L34"/>
    <mergeCell ref="I265:J265"/>
    <mergeCell ref="I269:J269"/>
    <mergeCell ref="I17:J17"/>
    <mergeCell ref="I261:J261"/>
    <mergeCell ref="I266:J266"/>
    <mergeCell ref="I267:J267"/>
    <mergeCell ref="I268:J268"/>
    <mergeCell ref="E21:P21"/>
    <mergeCell ref="E22:P22"/>
    <mergeCell ref="E32:P32"/>
    <mergeCell ref="E37:P37"/>
    <mergeCell ref="E46:P46"/>
    <mergeCell ref="E47:P47"/>
    <mergeCell ref="E53:P53"/>
    <mergeCell ref="E67:P67"/>
    <mergeCell ref="E9:P9"/>
    <mergeCell ref="E10:P10"/>
    <mergeCell ref="E11:P11"/>
    <mergeCell ref="E18:P18"/>
    <mergeCell ref="E20:P20"/>
    <mergeCell ref="E70:P70"/>
    <mergeCell ref="E75:P75"/>
    <mergeCell ref="E83:P83"/>
    <mergeCell ref="E84:P84"/>
    <mergeCell ref="E85:P85"/>
    <mergeCell ref="E86:P86"/>
    <mergeCell ref="E91:P91"/>
    <mergeCell ref="E96:P96"/>
    <mergeCell ref="E100:P100"/>
    <mergeCell ref="E106:P106"/>
    <mergeCell ref="E215:P215"/>
    <mergeCell ref="E236:P236"/>
    <mergeCell ref="E250:P250"/>
    <mergeCell ref="E256:P256"/>
    <mergeCell ref="E263:P263"/>
    <mergeCell ref="E352:P352"/>
    <mergeCell ref="E361:P361"/>
    <mergeCell ref="E394:P394"/>
    <mergeCell ref="C104:P104"/>
    <mergeCell ref="C251:P251"/>
    <mergeCell ref="C392:P392"/>
    <mergeCell ref="E296:P296"/>
    <mergeCell ref="E299:P299"/>
    <mergeCell ref="E304:P304"/>
    <mergeCell ref="E313:P313"/>
    <mergeCell ref="E319:P319"/>
    <mergeCell ref="E275:P275"/>
    <mergeCell ref="E279:P279"/>
    <mergeCell ref="E283:P283"/>
    <mergeCell ref="E288:P288"/>
    <mergeCell ref="E291:P291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4" fitToHeight="0" orientation="landscape" r:id="rId1"/>
  <headerFooter scaleWithDoc="0">
    <oddFooter>&amp;C&amp;P</oddFooter>
  </headerFooter>
  <rowBreaks count="1" manualBreakCount="1">
    <brk id="83" max="19" man="1"/>
  </rowBreaks>
  <colBreaks count="1" manualBreakCount="1">
    <brk id="17" max="332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0070C0"/>
    <pageSetUpPr fitToPage="1"/>
  </sheetPr>
  <dimension ref="A1:XFD393"/>
  <sheetViews>
    <sheetView view="pageBreakPreview" zoomScaleNormal="85" zoomScaleSheetLayoutView="100" workbookViewId="0">
      <pane ySplit="5" topLeftCell="A190" activePane="bottomLeft" state="frozen"/>
      <selection activeCell="O40" sqref="O39:O40"/>
      <selection pane="bottomLeft" activeCell="D206" sqref="D206"/>
    </sheetView>
  </sheetViews>
  <sheetFormatPr defaultColWidth="9" defaultRowHeight="16.5"/>
  <cols>
    <col min="1" max="1" width="3.625" style="128" customWidth="1"/>
    <col min="2" max="3" width="3.625" style="839" customWidth="1"/>
    <col min="4" max="4" width="4.125" style="839" customWidth="1"/>
    <col min="5" max="5" width="10.625" style="897" customWidth="1"/>
    <col min="6" max="6" width="35.375" style="128" customWidth="1"/>
    <col min="7" max="7" width="14.5" style="840" bestFit="1" customWidth="1"/>
    <col min="8" max="8" width="2.125" style="128" customWidth="1"/>
    <col min="9" max="9" width="7.875" style="128" bestFit="1" customWidth="1"/>
    <col min="10" max="10" width="2.125" style="128" customWidth="1"/>
    <col min="11" max="11" width="7.5" style="128" bestFit="1" customWidth="1"/>
    <col min="12" max="12" width="2.625" style="1257" customWidth="1"/>
    <col min="13" max="13" width="6.875" style="1257" customWidth="1"/>
    <col min="14" max="14" width="2.625" style="1257" customWidth="1"/>
    <col min="15" max="15" width="2.625" style="841" customWidth="1"/>
    <col min="16" max="16" width="13.875" style="128" customWidth="1"/>
    <col min="17" max="17" width="10.625" style="842" customWidth="1"/>
    <col min="18" max="18" width="10.625" style="843" customWidth="1"/>
    <col min="19" max="19" width="10.625" style="1174" customWidth="1"/>
    <col min="20" max="20" width="10.625" style="1175" customWidth="1"/>
    <col min="21" max="21" width="9" style="128"/>
    <col min="22" max="22" width="12.625" style="128" customWidth="1"/>
    <col min="23" max="23" width="13.25" style="128" bestFit="1" customWidth="1"/>
    <col min="24" max="24" width="9.125" style="128" bestFit="1" customWidth="1"/>
    <col min="25" max="25" width="9" style="128"/>
    <col min="26" max="26" width="9.125" style="128" bestFit="1" customWidth="1"/>
    <col min="27" max="16383" width="9" style="128"/>
    <col min="16384" max="16384" width="10.625" style="128" bestFit="1" customWidth="1"/>
  </cols>
  <sheetData>
    <row r="1" spans="1:25" ht="35.1" customHeight="1">
      <c r="A1" s="3679" t="s">
        <v>1777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  <c r="T1" s="3785"/>
    </row>
    <row r="2" spans="1:25" ht="15" customHeight="1" thickBot="1">
      <c r="A2" s="128" t="s">
        <v>138</v>
      </c>
      <c r="E2" s="792"/>
      <c r="S2" s="3680" t="s">
        <v>311</v>
      </c>
      <c r="T2" s="3680"/>
    </row>
    <row r="3" spans="1:25" s="841" customFormat="1" ht="14.45" customHeight="1">
      <c r="A3" s="3693" t="s">
        <v>417</v>
      </c>
      <c r="B3" s="3694"/>
      <c r="C3" s="3694"/>
      <c r="D3" s="3694"/>
      <c r="E3" s="3694"/>
      <c r="F3" s="3713"/>
      <c r="G3" s="3794" t="s">
        <v>418</v>
      </c>
      <c r="H3" s="3695"/>
      <c r="I3" s="3695"/>
      <c r="J3" s="3695"/>
      <c r="K3" s="3695"/>
      <c r="L3" s="3695"/>
      <c r="M3" s="3695"/>
      <c r="N3" s="3695"/>
      <c r="O3" s="3695"/>
      <c r="P3" s="3696"/>
      <c r="Q3" s="3699" t="s">
        <v>4</v>
      </c>
      <c r="R3" s="3701" t="s">
        <v>326</v>
      </c>
      <c r="S3" s="3703" t="s">
        <v>5</v>
      </c>
      <c r="T3" s="3705" t="s">
        <v>6</v>
      </c>
      <c r="U3" s="128"/>
    </row>
    <row r="4" spans="1:25" s="841" customFormat="1" ht="14.45" customHeight="1" thickBot="1">
      <c r="A4" s="983" t="s">
        <v>419</v>
      </c>
      <c r="B4" s="984" t="s">
        <v>420</v>
      </c>
      <c r="C4" s="984" t="s">
        <v>421</v>
      </c>
      <c r="D4" s="984" t="s">
        <v>145</v>
      </c>
      <c r="E4" s="984" t="s">
        <v>422</v>
      </c>
      <c r="F4" s="985" t="s">
        <v>423</v>
      </c>
      <c r="G4" s="3795"/>
      <c r="H4" s="3697"/>
      <c r="I4" s="3697"/>
      <c r="J4" s="3697"/>
      <c r="K4" s="3697"/>
      <c r="L4" s="3697"/>
      <c r="M4" s="3697"/>
      <c r="N4" s="3697"/>
      <c r="O4" s="3697"/>
      <c r="P4" s="3698"/>
      <c r="Q4" s="3700"/>
      <c r="R4" s="3702"/>
      <c r="S4" s="3704"/>
      <c r="T4" s="3706"/>
    </row>
    <row r="5" spans="1:25" ht="14.45" customHeight="1">
      <c r="A5" s="1823" t="s">
        <v>424</v>
      </c>
      <c r="B5" s="1824"/>
      <c r="C5" s="1824"/>
      <c r="D5" s="1824"/>
      <c r="E5" s="1824"/>
      <c r="F5" s="1824"/>
      <c r="G5" s="1115"/>
      <c r="H5" s="1114"/>
      <c r="I5" s="1114"/>
      <c r="J5" s="1114"/>
      <c r="K5" s="1114"/>
      <c r="L5" s="1824"/>
      <c r="M5" s="1824"/>
      <c r="N5" s="1824"/>
      <c r="O5" s="1116"/>
      <c r="P5" s="1114"/>
      <c r="Q5" s="1117">
        <f>Q6</f>
        <v>1749582000</v>
      </c>
      <c r="R5" s="1117">
        <f>R6</f>
        <v>1947236000</v>
      </c>
      <c r="S5" s="639">
        <f t="shared" ref="S5:S10" si="0">+Q5-R5</f>
        <v>-197654000</v>
      </c>
      <c r="T5" s="1825">
        <f t="shared" ref="T5:T10" si="1">+S5/R5</f>
        <v>-0.10150490233335867</v>
      </c>
      <c r="V5" s="128">
        <v>1752022000</v>
      </c>
      <c r="W5" s="128">
        <v>1947236000</v>
      </c>
      <c r="Y5" s="1120"/>
    </row>
    <row r="6" spans="1:25" ht="14.45" customHeight="1">
      <c r="A6" s="778"/>
      <c r="B6" s="788" t="s">
        <v>425</v>
      </c>
      <c r="C6" s="787"/>
      <c r="D6" s="787"/>
      <c r="E6" s="787"/>
      <c r="F6" s="869"/>
      <c r="G6" s="870"/>
      <c r="H6" s="869"/>
      <c r="I6" s="869"/>
      <c r="J6" s="869"/>
      <c r="K6" s="869"/>
      <c r="L6" s="1267"/>
      <c r="M6" s="1267"/>
      <c r="N6" s="1267"/>
      <c r="O6" s="871"/>
      <c r="P6" s="869"/>
      <c r="Q6" s="872">
        <f>Q7+Q85+Q382+Q105+Q374</f>
        <v>1749582000</v>
      </c>
      <c r="R6" s="872">
        <f>R7+R85+R382+R105</f>
        <v>1947236000</v>
      </c>
      <c r="S6" s="924">
        <f t="shared" si="0"/>
        <v>-197654000</v>
      </c>
      <c r="T6" s="925">
        <f t="shared" si="1"/>
        <v>-0.10150490233335867</v>
      </c>
      <c r="V6" s="1120">
        <f>Q5-V5</f>
        <v>-2440000</v>
      </c>
      <c r="W6" s="1120">
        <f>R5-W5</f>
        <v>0</v>
      </c>
    </row>
    <row r="7" spans="1:25" ht="14.45" customHeight="1">
      <c r="A7" s="778"/>
      <c r="B7" s="844"/>
      <c r="C7" s="627" t="s">
        <v>426</v>
      </c>
      <c r="D7" s="627"/>
      <c r="E7" s="627"/>
      <c r="F7" s="869"/>
      <c r="G7" s="870"/>
      <c r="H7" s="869"/>
      <c r="I7" s="869"/>
      <c r="J7" s="869"/>
      <c r="K7" s="869"/>
      <c r="L7" s="1267"/>
      <c r="M7" s="1267"/>
      <c r="N7" s="1267"/>
      <c r="O7" s="871"/>
      <c r="P7" s="869"/>
      <c r="Q7" s="872">
        <f>Q8+Q59</f>
        <v>923504000</v>
      </c>
      <c r="R7" s="872">
        <f>R8+R59</f>
        <v>817500000</v>
      </c>
      <c r="S7" s="924">
        <f t="shared" si="0"/>
        <v>106004000</v>
      </c>
      <c r="T7" s="925">
        <f t="shared" si="1"/>
        <v>0.12966850152905199</v>
      </c>
    </row>
    <row r="8" spans="1:25" ht="14.45" customHeight="1">
      <c r="A8" s="778"/>
      <c r="B8" s="786"/>
      <c r="C8" s="719"/>
      <c r="D8" s="684" t="s">
        <v>250</v>
      </c>
      <c r="E8" s="634"/>
      <c r="F8" s="635"/>
      <c r="G8" s="636"/>
      <c r="H8" s="635"/>
      <c r="I8" s="635"/>
      <c r="J8" s="635"/>
      <c r="K8" s="635"/>
      <c r="L8" s="1268"/>
      <c r="M8" s="1268"/>
      <c r="N8" s="1268"/>
      <c r="O8" s="637"/>
      <c r="P8" s="635"/>
      <c r="Q8" s="638">
        <f>Q9+Q16+Q47+Q56</f>
        <v>612394000</v>
      </c>
      <c r="R8" s="638">
        <f>R9+R16+R47+R56</f>
        <v>576692000</v>
      </c>
      <c r="S8" s="639">
        <f t="shared" si="0"/>
        <v>35702000</v>
      </c>
      <c r="T8" s="1825">
        <f t="shared" si="1"/>
        <v>6.1908262989602766E-2</v>
      </c>
    </row>
    <row r="9" spans="1:25" ht="14.45" customHeight="1">
      <c r="A9" s="778"/>
      <c r="B9" s="786"/>
      <c r="C9" s="792"/>
      <c r="D9" s="844"/>
      <c r="E9" s="3637" t="s">
        <v>3128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8"/>
      <c r="P9" s="3639"/>
      <c r="Q9" s="645">
        <f>ROUNDUP((P10),-3)</f>
        <v>347150000</v>
      </c>
      <c r="R9" s="645">
        <v>333955000</v>
      </c>
      <c r="S9" s="646">
        <f t="shared" si="0"/>
        <v>13195000</v>
      </c>
      <c r="T9" s="647">
        <f t="shared" si="1"/>
        <v>3.9511311404231107E-2</v>
      </c>
      <c r="W9" s="128" t="s">
        <v>2335</v>
      </c>
      <c r="X9" s="1120">
        <f>Q8</f>
        <v>612394000</v>
      </c>
    </row>
    <row r="10" spans="1:25" ht="14.45" customHeight="1">
      <c r="A10" s="778"/>
      <c r="B10" s="786"/>
      <c r="C10" s="792"/>
      <c r="D10" s="786"/>
      <c r="E10" s="3336"/>
      <c r="F10" s="1827" t="s">
        <v>38</v>
      </c>
      <c r="G10" s="1828"/>
      <c r="H10" s="1829"/>
      <c r="I10" s="1829"/>
      <c r="J10" s="1829"/>
      <c r="K10" s="1829"/>
      <c r="L10" s="1830"/>
      <c r="M10" s="1829"/>
      <c r="N10" s="1831"/>
      <c r="O10" s="1831"/>
      <c r="P10" s="1832">
        <f>SUM(P11:P15)</f>
        <v>347150000</v>
      </c>
      <c r="Q10" s="1833">
        <f>P10</f>
        <v>347150000</v>
      </c>
      <c r="R10" s="1833">
        <v>333955000</v>
      </c>
      <c r="S10" s="1834">
        <f t="shared" si="0"/>
        <v>13195000</v>
      </c>
      <c r="T10" s="1835">
        <f t="shared" si="1"/>
        <v>3.9511311404231107E-2</v>
      </c>
      <c r="W10" s="128" t="s">
        <v>2336</v>
      </c>
      <c r="X10" s="1120">
        <f>Q59</f>
        <v>311110000</v>
      </c>
    </row>
    <row r="11" spans="1:25" ht="14.45" customHeight="1">
      <c r="A11" s="778"/>
      <c r="B11" s="786"/>
      <c r="C11" s="792"/>
      <c r="D11" s="786"/>
      <c r="E11" s="3301"/>
      <c r="F11" s="662" t="s">
        <v>1778</v>
      </c>
      <c r="G11" s="1836">
        <v>1200000</v>
      </c>
      <c r="H11" s="1431" t="s">
        <v>21</v>
      </c>
      <c r="I11" s="1432">
        <v>1</v>
      </c>
      <c r="J11" s="1431" t="s">
        <v>21</v>
      </c>
      <c r="K11" s="1433">
        <v>12</v>
      </c>
      <c r="L11" s="1837"/>
      <c r="M11" s="1433"/>
      <c r="N11" s="1436"/>
      <c r="O11" s="1436" t="s">
        <v>22</v>
      </c>
      <c r="P11" s="1437">
        <f>ROUNDUP(G11*I11*K11,-3)</f>
        <v>14400000</v>
      </c>
      <c r="Q11" s="1438"/>
      <c r="R11" s="1438"/>
      <c r="S11" s="1439"/>
      <c r="T11" s="1440"/>
      <c r="W11" s="128" t="s">
        <v>2337</v>
      </c>
      <c r="X11" s="1120">
        <f>Q90</f>
        <v>7600000</v>
      </c>
    </row>
    <row r="12" spans="1:25" ht="14.45" customHeight="1">
      <c r="A12" s="778"/>
      <c r="B12" s="786"/>
      <c r="C12" s="792"/>
      <c r="D12" s="786"/>
      <c r="E12" s="3337"/>
      <c r="F12" s="662" t="s">
        <v>1779</v>
      </c>
      <c r="G12" s="1836">
        <v>3287500</v>
      </c>
      <c r="H12" s="1431" t="s">
        <v>21</v>
      </c>
      <c r="I12" s="1432">
        <v>2</v>
      </c>
      <c r="J12" s="1431" t="s">
        <v>21</v>
      </c>
      <c r="K12" s="1433">
        <v>12</v>
      </c>
      <c r="L12" s="1837"/>
      <c r="M12" s="1433"/>
      <c r="N12" s="1436"/>
      <c r="O12" s="1436" t="s">
        <v>22</v>
      </c>
      <c r="P12" s="1437">
        <f>ROUNDUP(G12*I12*K12,-3)</f>
        <v>78900000</v>
      </c>
      <c r="Q12" s="1438"/>
      <c r="R12" s="1438"/>
      <c r="S12" s="1439"/>
      <c r="T12" s="1440"/>
      <c r="X12" s="1120">
        <f>SUM(X9:X11)</f>
        <v>931104000</v>
      </c>
    </row>
    <row r="13" spans="1:25" ht="14.45" customHeight="1">
      <c r="A13" s="778"/>
      <c r="B13" s="786"/>
      <c r="C13" s="792"/>
      <c r="D13" s="786"/>
      <c r="E13" s="3337"/>
      <c r="F13" s="662" t="s">
        <v>1780</v>
      </c>
      <c r="G13" s="1836">
        <v>2897916</v>
      </c>
      <c r="H13" s="1431" t="s">
        <v>21</v>
      </c>
      <c r="I13" s="1432">
        <v>2</v>
      </c>
      <c r="J13" s="1431" t="s">
        <v>21</v>
      </c>
      <c r="K13" s="1433">
        <v>12</v>
      </c>
      <c r="L13" s="1837"/>
      <c r="M13" s="1433"/>
      <c r="N13" s="1436"/>
      <c r="O13" s="1436" t="s">
        <v>22</v>
      </c>
      <c r="P13" s="1437">
        <f>ROUNDUP(G13*I13*K13,-3)</f>
        <v>69550000</v>
      </c>
      <c r="Q13" s="1438"/>
      <c r="R13" s="1438"/>
      <c r="S13" s="1439"/>
      <c r="T13" s="1440"/>
    </row>
    <row r="14" spans="1:25" ht="14.45" customHeight="1">
      <c r="A14" s="778"/>
      <c r="B14" s="786"/>
      <c r="C14" s="792"/>
      <c r="D14" s="786"/>
      <c r="E14" s="3337"/>
      <c r="F14" s="662" t="s">
        <v>430</v>
      </c>
      <c r="G14" s="1836">
        <v>2089285</v>
      </c>
      <c r="H14" s="1431" t="s">
        <v>21</v>
      </c>
      <c r="I14" s="1432">
        <v>7</v>
      </c>
      <c r="J14" s="1431" t="s">
        <v>21</v>
      </c>
      <c r="K14" s="1433">
        <v>12</v>
      </c>
      <c r="L14" s="1837"/>
      <c r="M14" s="1433"/>
      <c r="N14" s="1436"/>
      <c r="O14" s="1436" t="s">
        <v>22</v>
      </c>
      <c r="P14" s="1437">
        <f>ROUNDUP(G14*I14*K14,-3)</f>
        <v>175500000</v>
      </c>
      <c r="Q14" s="1438"/>
      <c r="R14" s="1438"/>
      <c r="S14" s="1439"/>
      <c r="T14" s="1440"/>
      <c r="W14" s="1120"/>
    </row>
    <row r="15" spans="1:25" ht="14.45" customHeight="1">
      <c r="A15" s="778"/>
      <c r="B15" s="786"/>
      <c r="C15" s="792"/>
      <c r="D15" s="786"/>
      <c r="E15" s="3337"/>
      <c r="F15" s="662" t="s">
        <v>431</v>
      </c>
      <c r="G15" s="1836">
        <v>366666</v>
      </c>
      <c r="H15" s="1431" t="s">
        <v>21</v>
      </c>
      <c r="I15" s="1432">
        <v>2</v>
      </c>
      <c r="J15" s="1431" t="s">
        <v>21</v>
      </c>
      <c r="K15" s="1433">
        <v>12</v>
      </c>
      <c r="L15" s="1837"/>
      <c r="M15" s="1433"/>
      <c r="N15" s="1436"/>
      <c r="O15" s="1436" t="s">
        <v>1781</v>
      </c>
      <c r="P15" s="1437">
        <f>ROUNDUP(G15*I15*K15,-3)</f>
        <v>8800000</v>
      </c>
      <c r="Q15" s="1438"/>
      <c r="R15" s="1438"/>
      <c r="S15" s="1439"/>
      <c r="T15" s="1440"/>
    </row>
    <row r="16" spans="1:25" ht="14.45" customHeight="1">
      <c r="A16" s="778"/>
      <c r="B16" s="786"/>
      <c r="C16" s="792"/>
      <c r="D16" s="1010"/>
      <c r="E16" s="3637" t="s">
        <v>3129</v>
      </c>
      <c r="F16" s="3638"/>
      <c r="G16" s="3638"/>
      <c r="H16" s="3638"/>
      <c r="I16" s="3638"/>
      <c r="J16" s="3638"/>
      <c r="K16" s="3638"/>
      <c r="L16" s="3638"/>
      <c r="M16" s="3638"/>
      <c r="N16" s="3638"/>
      <c r="O16" s="3638"/>
      <c r="P16" s="3639"/>
      <c r="Q16" s="645">
        <f>SUM(P17,P20,P22,P24,P29,P35,P41)</f>
        <v>170216000</v>
      </c>
      <c r="R16" s="645">
        <f>SUM(R17:R45)</f>
        <v>159660000</v>
      </c>
      <c r="S16" s="646">
        <f>+Q16-R16</f>
        <v>10556000</v>
      </c>
      <c r="T16" s="647">
        <f>+S16/R16</f>
        <v>6.6115495427784041E-2</v>
      </c>
    </row>
    <row r="17" spans="1:24" ht="14.45" customHeight="1">
      <c r="A17" s="778"/>
      <c r="B17" s="786"/>
      <c r="C17" s="792"/>
      <c r="D17" s="1010"/>
      <c r="E17" s="786"/>
      <c r="F17" s="1827" t="s">
        <v>456</v>
      </c>
      <c r="G17" s="1828"/>
      <c r="H17" s="1829"/>
      <c r="I17" s="1829"/>
      <c r="J17" s="1829"/>
      <c r="K17" s="1829"/>
      <c r="L17" s="1830"/>
      <c r="M17" s="1829"/>
      <c r="N17" s="1831"/>
      <c r="O17" s="1831"/>
      <c r="P17" s="1832">
        <f>SUM(P18:P19)</f>
        <v>10800000</v>
      </c>
      <c r="Q17" s="1833">
        <f>P17</f>
        <v>10800000</v>
      </c>
      <c r="R17" s="1833">
        <v>8400000</v>
      </c>
      <c r="S17" s="1834">
        <f>+Q17-R17</f>
        <v>2400000</v>
      </c>
      <c r="T17" s="1835">
        <f>+S17/R17</f>
        <v>0.2857142857142857</v>
      </c>
    </row>
    <row r="18" spans="1:24" ht="14.45" customHeight="1">
      <c r="A18" s="778"/>
      <c r="B18" s="786"/>
      <c r="C18" s="792"/>
      <c r="D18" s="1010"/>
      <c r="E18" s="786"/>
      <c r="F18" s="1838" t="s">
        <v>1784</v>
      </c>
      <c r="G18" s="1430">
        <v>250000</v>
      </c>
      <c r="H18" s="1431" t="s">
        <v>21</v>
      </c>
      <c r="I18" s="1432">
        <v>2</v>
      </c>
      <c r="J18" s="1431" t="s">
        <v>21</v>
      </c>
      <c r="K18" s="1433">
        <v>12</v>
      </c>
      <c r="L18" s="1837"/>
      <c r="M18" s="1433"/>
      <c r="N18" s="1436"/>
      <c r="O18" s="1436" t="s">
        <v>22</v>
      </c>
      <c r="P18" s="1839">
        <f>ROUNDUP(G18*I18*K18,-3)</f>
        <v>6000000</v>
      </c>
      <c r="Q18" s="1438"/>
      <c r="R18" s="1438"/>
      <c r="S18" s="1439"/>
      <c r="T18" s="1440"/>
    </row>
    <row r="19" spans="1:24" ht="14.45" customHeight="1">
      <c r="A19" s="778"/>
      <c r="B19" s="786"/>
      <c r="C19" s="792"/>
      <c r="D19" s="1010"/>
      <c r="E19" s="786"/>
      <c r="F19" s="1838" t="s">
        <v>1782</v>
      </c>
      <c r="G19" s="1430">
        <v>100000</v>
      </c>
      <c r="H19" s="1431" t="s">
        <v>21</v>
      </c>
      <c r="I19" s="1432">
        <v>4</v>
      </c>
      <c r="J19" s="1431" t="s">
        <v>21</v>
      </c>
      <c r="K19" s="1433">
        <v>12</v>
      </c>
      <c r="L19" s="1837"/>
      <c r="M19" s="1433"/>
      <c r="N19" s="1436"/>
      <c r="O19" s="1436" t="s">
        <v>22</v>
      </c>
      <c r="P19" s="1437">
        <f>ROUNDUP(G19*I19*K19,-3)</f>
        <v>4800000</v>
      </c>
      <c r="Q19" s="1438"/>
      <c r="R19" s="1438"/>
      <c r="S19" s="1439"/>
      <c r="T19" s="1440"/>
    </row>
    <row r="20" spans="1:24" ht="14.45" customHeight="1">
      <c r="A20" s="778"/>
      <c r="B20" s="786"/>
      <c r="C20" s="792"/>
      <c r="D20" s="1010"/>
      <c r="E20" s="786"/>
      <c r="F20" s="1827" t="s">
        <v>40</v>
      </c>
      <c r="G20" s="1828"/>
      <c r="H20" s="1829"/>
      <c r="I20" s="1829"/>
      <c r="J20" s="1829"/>
      <c r="K20" s="1829"/>
      <c r="L20" s="1830"/>
      <c r="M20" s="1829"/>
      <c r="N20" s="1831"/>
      <c r="O20" s="1831"/>
      <c r="P20" s="1832">
        <f>SUM(P21:P21)</f>
        <v>4560000</v>
      </c>
      <c r="Q20" s="1833">
        <f>P20</f>
        <v>4560000</v>
      </c>
      <c r="R20" s="1833">
        <v>4560000</v>
      </c>
      <c r="S20" s="1834">
        <f>+Q20-R20</f>
        <v>0</v>
      </c>
      <c r="T20" s="1835">
        <f>+S20/R20</f>
        <v>0</v>
      </c>
      <c r="X20" s="1120">
        <f>Q8+Q59+Q90</f>
        <v>931104000</v>
      </c>
    </row>
    <row r="21" spans="1:24" ht="14.45" customHeight="1">
      <c r="A21" s="778"/>
      <c r="B21" s="786"/>
      <c r="C21" s="792"/>
      <c r="D21" s="1010"/>
      <c r="E21" s="786"/>
      <c r="F21" s="1838" t="s">
        <v>1785</v>
      </c>
      <c r="G21" s="1430">
        <v>380000</v>
      </c>
      <c r="H21" s="1431" t="s">
        <v>21</v>
      </c>
      <c r="I21" s="1840">
        <v>1</v>
      </c>
      <c r="J21" s="1431" t="s">
        <v>21</v>
      </c>
      <c r="K21" s="1433">
        <v>12</v>
      </c>
      <c r="L21" s="1837"/>
      <c r="M21" s="1433"/>
      <c r="N21" s="1436"/>
      <c r="O21" s="1436" t="s">
        <v>22</v>
      </c>
      <c r="P21" s="1437">
        <f>ROUNDUP(G21*I21*K21,-3)</f>
        <v>4560000</v>
      </c>
      <c r="Q21" s="1438"/>
      <c r="R21" s="1438"/>
      <c r="S21" s="1439"/>
      <c r="T21" s="1440"/>
    </row>
    <row r="22" spans="1:24" ht="14.45" customHeight="1">
      <c r="A22" s="778"/>
      <c r="B22" s="786"/>
      <c r="C22" s="792"/>
      <c r="D22" s="1010"/>
      <c r="E22" s="786"/>
      <c r="F22" s="1827" t="s">
        <v>41</v>
      </c>
      <c r="G22" s="1828"/>
      <c r="H22" s="1829"/>
      <c r="I22" s="1829"/>
      <c r="J22" s="1829"/>
      <c r="K22" s="1829"/>
      <c r="L22" s="1830"/>
      <c r="M22" s="1829"/>
      <c r="N22" s="1831"/>
      <c r="O22" s="1831"/>
      <c r="P22" s="1832">
        <f>SUM(P23:P23)</f>
        <v>21840000</v>
      </c>
      <c r="Q22" s="1833">
        <f>P22</f>
        <v>21840000</v>
      </c>
      <c r="R22" s="1833">
        <v>24830000</v>
      </c>
      <c r="S22" s="1834">
        <f>+Q22-R22</f>
        <v>-2990000</v>
      </c>
      <c r="T22" s="1835">
        <f>+S22/R22</f>
        <v>-0.12041884816753927</v>
      </c>
    </row>
    <row r="23" spans="1:24" ht="14.45" customHeight="1">
      <c r="A23" s="778"/>
      <c r="B23" s="786"/>
      <c r="C23" s="792"/>
      <c r="D23" s="1010"/>
      <c r="E23" s="786"/>
      <c r="F23" s="1841" t="s">
        <v>42</v>
      </c>
      <c r="G23" s="1430">
        <v>130000</v>
      </c>
      <c r="H23" s="1431" t="s">
        <v>21</v>
      </c>
      <c r="I23" s="1432">
        <v>14</v>
      </c>
      <c r="J23" s="1431" t="s">
        <v>21</v>
      </c>
      <c r="K23" s="1433">
        <v>12</v>
      </c>
      <c r="L23" s="1837"/>
      <c r="M23" s="1433"/>
      <c r="N23" s="1436"/>
      <c r="O23" s="1436" t="s">
        <v>22</v>
      </c>
      <c r="P23" s="1437">
        <f>ROUNDUP(G23*I23*K23,-3)</f>
        <v>21840000</v>
      </c>
      <c r="Q23" s="1438"/>
      <c r="R23" s="1438"/>
      <c r="S23" s="1439"/>
      <c r="T23" s="1440"/>
    </row>
    <row r="24" spans="1:24" ht="14.45" customHeight="1">
      <c r="A24" s="778"/>
      <c r="B24" s="786"/>
      <c r="C24" s="792"/>
      <c r="D24" s="1010"/>
      <c r="E24" s="786"/>
      <c r="F24" s="1827" t="s">
        <v>1786</v>
      </c>
      <c r="G24" s="1828"/>
      <c r="H24" s="1829"/>
      <c r="I24" s="1829"/>
      <c r="J24" s="1829"/>
      <c r="K24" s="1829"/>
      <c r="L24" s="1830"/>
      <c r="M24" s="1829"/>
      <c r="N24" s="1831"/>
      <c r="O24" s="1831"/>
      <c r="P24" s="1832">
        <f>SUM(P25:P28)</f>
        <v>4320000</v>
      </c>
      <c r="Q24" s="1833">
        <f>P24</f>
        <v>4320000</v>
      </c>
      <c r="R24" s="1833">
        <v>4270000</v>
      </c>
      <c r="S24" s="1834">
        <f>+Q24-R24</f>
        <v>50000</v>
      </c>
      <c r="T24" s="1835">
        <f>+S24/R24</f>
        <v>1.1709601873536301E-2</v>
      </c>
    </row>
    <row r="25" spans="1:24" ht="14.45" customHeight="1">
      <c r="A25" s="778"/>
      <c r="B25" s="786"/>
      <c r="C25" s="792"/>
      <c r="D25" s="1010"/>
      <c r="E25" s="786"/>
      <c r="F25" s="1841" t="s">
        <v>1787</v>
      </c>
      <c r="G25" s="1430">
        <v>70000</v>
      </c>
      <c r="H25" s="1431" t="s">
        <v>21</v>
      </c>
      <c r="I25" s="1432">
        <v>3</v>
      </c>
      <c r="J25" s="1431" t="s">
        <v>21</v>
      </c>
      <c r="K25" s="1433">
        <v>12</v>
      </c>
      <c r="L25" s="1837"/>
      <c r="M25" s="1433"/>
      <c r="N25" s="1436"/>
      <c r="O25" s="1436" t="s">
        <v>22</v>
      </c>
      <c r="P25" s="1437">
        <f>ROUNDUP(G25*I25*K25,-3)</f>
        <v>2520000</v>
      </c>
      <c r="Q25" s="1438"/>
      <c r="R25" s="1438"/>
      <c r="S25" s="1439"/>
      <c r="T25" s="1440"/>
    </row>
    <row r="26" spans="1:24" ht="14.45" customHeight="1">
      <c r="A26" s="778"/>
      <c r="B26" s="786"/>
      <c r="C26" s="792"/>
      <c r="D26" s="1010"/>
      <c r="E26" s="786"/>
      <c r="F26" s="1841" t="s">
        <v>1788</v>
      </c>
      <c r="G26" s="1430">
        <v>50000</v>
      </c>
      <c r="H26" s="1431" t="s">
        <v>21</v>
      </c>
      <c r="I26" s="1432">
        <v>1</v>
      </c>
      <c r="J26" s="1431" t="s">
        <v>21</v>
      </c>
      <c r="K26" s="1433">
        <v>12</v>
      </c>
      <c r="L26" s="1837"/>
      <c r="M26" s="1433"/>
      <c r="N26" s="1436"/>
      <c r="O26" s="1436" t="s">
        <v>22</v>
      </c>
      <c r="P26" s="1437">
        <f>ROUNDUP(G26*I26*K26,-3)</f>
        <v>600000</v>
      </c>
      <c r="Q26" s="1438"/>
      <c r="R26" s="1438"/>
      <c r="S26" s="1439"/>
      <c r="T26" s="1440"/>
    </row>
    <row r="27" spans="1:24" ht="14.45" customHeight="1">
      <c r="A27" s="778"/>
      <c r="B27" s="786"/>
      <c r="C27" s="792"/>
      <c r="D27" s="1010"/>
      <c r="E27" s="786"/>
      <c r="F27" s="1841" t="s">
        <v>1789</v>
      </c>
      <c r="G27" s="1430">
        <v>50000</v>
      </c>
      <c r="H27" s="1431" t="s">
        <v>21</v>
      </c>
      <c r="I27" s="1432">
        <v>1</v>
      </c>
      <c r="J27" s="1431" t="s">
        <v>21</v>
      </c>
      <c r="K27" s="1433">
        <v>12</v>
      </c>
      <c r="L27" s="1837"/>
      <c r="M27" s="1433"/>
      <c r="N27" s="1436"/>
      <c r="O27" s="1436" t="s">
        <v>22</v>
      </c>
      <c r="P27" s="1437">
        <f>ROUNDUP(G27*I27*K27,-3)</f>
        <v>600000</v>
      </c>
      <c r="Q27" s="1438"/>
      <c r="R27" s="1438"/>
      <c r="S27" s="1439"/>
      <c r="T27" s="1440"/>
    </row>
    <row r="28" spans="1:24" ht="14.45" customHeight="1">
      <c r="A28" s="778"/>
      <c r="B28" s="786"/>
      <c r="C28" s="792"/>
      <c r="D28" s="1010"/>
      <c r="E28" s="786"/>
      <c r="F28" s="1841" t="s">
        <v>1790</v>
      </c>
      <c r="G28" s="1430">
        <v>50000</v>
      </c>
      <c r="H28" s="1431" t="s">
        <v>21</v>
      </c>
      <c r="I28" s="1432">
        <v>1</v>
      </c>
      <c r="J28" s="1431" t="s">
        <v>21</v>
      </c>
      <c r="K28" s="1433">
        <v>12</v>
      </c>
      <c r="L28" s="1837"/>
      <c r="M28" s="1433"/>
      <c r="N28" s="1436"/>
      <c r="O28" s="1436" t="s">
        <v>22</v>
      </c>
      <c r="P28" s="1437">
        <f>ROUNDUP(G28*I28*K28,-3)</f>
        <v>600000</v>
      </c>
      <c r="Q28" s="1438"/>
      <c r="R28" s="1438"/>
      <c r="S28" s="1439"/>
      <c r="T28" s="1440"/>
    </row>
    <row r="29" spans="1:24" ht="14.45" customHeight="1">
      <c r="A29" s="778"/>
      <c r="B29" s="786"/>
      <c r="C29" s="792"/>
      <c r="D29" s="1010"/>
      <c r="E29" s="786"/>
      <c r="F29" s="1827" t="s">
        <v>45</v>
      </c>
      <c r="G29" s="1828"/>
      <c r="H29" s="1829"/>
      <c r="I29" s="1829"/>
      <c r="J29" s="1829"/>
      <c r="K29" s="1829"/>
      <c r="L29" s="1830"/>
      <c r="M29" s="1829"/>
      <c r="N29" s="1831"/>
      <c r="O29" s="1831"/>
      <c r="P29" s="1832">
        <f>SUM(P30:P34)</f>
        <v>84000000</v>
      </c>
      <c r="Q29" s="1833">
        <f>P29</f>
        <v>84000000</v>
      </c>
      <c r="R29" s="1833">
        <v>72000000</v>
      </c>
      <c r="S29" s="1834">
        <f>+Q29-R29</f>
        <v>12000000</v>
      </c>
      <c r="T29" s="1835">
        <f>+S29/R29</f>
        <v>0.16666666666666666</v>
      </c>
    </row>
    <row r="30" spans="1:24" ht="14.45" customHeight="1">
      <c r="A30" s="778"/>
      <c r="B30" s="786"/>
      <c r="C30" s="792"/>
      <c r="D30" s="1010"/>
      <c r="E30" s="786"/>
      <c r="F30" s="662" t="s">
        <v>428</v>
      </c>
      <c r="G30" s="1430">
        <v>1358250</v>
      </c>
      <c r="H30" s="1431" t="s">
        <v>21</v>
      </c>
      <c r="I30" s="1433">
        <v>12</v>
      </c>
      <c r="J30" s="1431"/>
      <c r="K30" s="1433"/>
      <c r="L30" s="1434"/>
      <c r="M30" s="1435"/>
      <c r="N30" s="1436"/>
      <c r="O30" s="1436" t="s">
        <v>22</v>
      </c>
      <c r="P30" s="1437">
        <f>ROUNDUP(G30*I30,-3)</f>
        <v>16299000</v>
      </c>
      <c r="Q30" s="1438"/>
      <c r="R30" s="1438"/>
      <c r="S30" s="1439"/>
      <c r="T30" s="1440"/>
    </row>
    <row r="31" spans="1:24" ht="14.45" customHeight="1">
      <c r="A31" s="778"/>
      <c r="B31" s="786"/>
      <c r="C31" s="792"/>
      <c r="D31" s="1010"/>
      <c r="E31" s="786"/>
      <c r="F31" s="662" t="s">
        <v>1791</v>
      </c>
      <c r="G31" s="1430">
        <v>1168880</v>
      </c>
      <c r="H31" s="1431" t="s">
        <v>21</v>
      </c>
      <c r="I31" s="1433">
        <v>12</v>
      </c>
      <c r="J31" s="1431"/>
      <c r="K31" s="1433"/>
      <c r="L31" s="1434"/>
      <c r="M31" s="1435"/>
      <c r="N31" s="1436"/>
      <c r="O31" s="1436" t="s">
        <v>22</v>
      </c>
      <c r="P31" s="1437">
        <f>ROUNDUP(G31*I31,-3)</f>
        <v>14027000</v>
      </c>
      <c r="Q31" s="1438"/>
      <c r="R31" s="1438"/>
      <c r="S31" s="1439"/>
      <c r="T31" s="1440"/>
      <c r="V31" s="1160"/>
    </row>
    <row r="32" spans="1:24" ht="14.45" customHeight="1">
      <c r="A32" s="778"/>
      <c r="B32" s="786"/>
      <c r="C32" s="792"/>
      <c r="D32" s="1010"/>
      <c r="E32" s="786"/>
      <c r="F32" s="662" t="s">
        <v>1792</v>
      </c>
      <c r="G32" s="1430">
        <v>3103900</v>
      </c>
      <c r="H32" s="1431" t="s">
        <v>21</v>
      </c>
      <c r="I32" s="1433">
        <v>12</v>
      </c>
      <c r="J32" s="1431"/>
      <c r="K32" s="1433"/>
      <c r="L32" s="1434"/>
      <c r="M32" s="1435"/>
      <c r="N32" s="1436"/>
      <c r="O32" s="1436" t="s">
        <v>22</v>
      </c>
      <c r="P32" s="1437">
        <f>ROUNDUP(G32*I32,-3)</f>
        <v>37247000</v>
      </c>
      <c r="Q32" s="1438"/>
      <c r="R32" s="1438"/>
      <c r="S32" s="1439"/>
      <c r="T32" s="1440"/>
    </row>
    <row r="33" spans="1:20" ht="14.45" customHeight="1">
      <c r="A33" s="778"/>
      <c r="B33" s="786"/>
      <c r="C33" s="792"/>
      <c r="D33" s="1010"/>
      <c r="E33" s="786"/>
      <c r="F33" s="662" t="s">
        <v>1783</v>
      </c>
      <c r="G33" s="1430">
        <v>752000</v>
      </c>
      <c r="H33" s="1431" t="s">
        <v>21</v>
      </c>
      <c r="I33" s="1433">
        <v>12</v>
      </c>
      <c r="J33" s="1431"/>
      <c r="K33" s="1433"/>
      <c r="L33" s="1434"/>
      <c r="M33" s="1435"/>
      <c r="N33" s="1436"/>
      <c r="O33" s="1436" t="s">
        <v>22</v>
      </c>
      <c r="P33" s="1437">
        <f>ROUNDUP(G33*I33,-3)</f>
        <v>9024000</v>
      </c>
      <c r="Q33" s="1438"/>
      <c r="R33" s="1438"/>
      <c r="S33" s="1439"/>
      <c r="T33" s="1440"/>
    </row>
    <row r="34" spans="1:20" ht="14.45" customHeight="1">
      <c r="A34" s="778"/>
      <c r="B34" s="786"/>
      <c r="C34" s="792"/>
      <c r="D34" s="1010"/>
      <c r="E34" s="786"/>
      <c r="F34" s="662" t="s">
        <v>1793</v>
      </c>
      <c r="G34" s="1430">
        <v>616880</v>
      </c>
      <c r="H34" s="1431" t="s">
        <v>21</v>
      </c>
      <c r="I34" s="1433">
        <v>12</v>
      </c>
      <c r="J34" s="1431"/>
      <c r="K34" s="1433"/>
      <c r="L34" s="1434"/>
      <c r="M34" s="1435"/>
      <c r="N34" s="1436"/>
      <c r="O34" s="1436" t="s">
        <v>22</v>
      </c>
      <c r="P34" s="1437">
        <f>ROUNDUP(G34*I34,-3)</f>
        <v>7403000</v>
      </c>
      <c r="Q34" s="1438"/>
      <c r="R34" s="1438"/>
      <c r="S34" s="1439"/>
      <c r="T34" s="1440"/>
    </row>
    <row r="35" spans="1:20" ht="14.45" customHeight="1">
      <c r="A35" s="778"/>
      <c r="B35" s="786"/>
      <c r="C35" s="792"/>
      <c r="D35" s="1010"/>
      <c r="E35" s="786"/>
      <c r="F35" s="1827" t="s">
        <v>48</v>
      </c>
      <c r="G35" s="1828"/>
      <c r="H35" s="1829"/>
      <c r="I35" s="1829"/>
      <c r="J35" s="1829"/>
      <c r="K35" s="1829"/>
      <c r="L35" s="1830"/>
      <c r="M35" s="1829"/>
      <c r="N35" s="1831"/>
      <c r="O35" s="1831"/>
      <c r="P35" s="1832">
        <f>SUM(P36:P40)</f>
        <v>33196000</v>
      </c>
      <c r="Q35" s="1833">
        <f>P35</f>
        <v>33196000</v>
      </c>
      <c r="R35" s="1833">
        <v>29600000</v>
      </c>
      <c r="S35" s="1834">
        <f>+Q35-R35</f>
        <v>3596000</v>
      </c>
      <c r="T35" s="1835">
        <f>+S35/R35</f>
        <v>0.12148648648648648</v>
      </c>
    </row>
    <row r="36" spans="1:20" ht="14.45" customHeight="1">
      <c r="A36" s="778"/>
      <c r="B36" s="786"/>
      <c r="C36" s="792"/>
      <c r="D36" s="1010"/>
      <c r="E36" s="786"/>
      <c r="F36" s="662" t="s">
        <v>427</v>
      </c>
      <c r="G36" s="1842">
        <f>ROUNDUP(P11/12/2,-3)</f>
        <v>600000</v>
      </c>
      <c r="H36" s="1431" t="s">
        <v>21</v>
      </c>
      <c r="I36" s="1843">
        <v>2</v>
      </c>
      <c r="J36" s="1431"/>
      <c r="K36" s="1843"/>
      <c r="L36" s="1837"/>
      <c r="M36" s="1433"/>
      <c r="N36" s="1436"/>
      <c r="O36" s="1436" t="s">
        <v>22</v>
      </c>
      <c r="P36" s="1437">
        <f>ROUNDUP(G36*I36,-3)</f>
        <v>1200000</v>
      </c>
      <c r="Q36" s="1438"/>
      <c r="R36" s="1438"/>
      <c r="S36" s="1439"/>
      <c r="T36" s="1440"/>
    </row>
    <row r="37" spans="1:20" ht="14.45" customHeight="1">
      <c r="A37" s="778"/>
      <c r="B37" s="786"/>
      <c r="C37" s="792"/>
      <c r="D37" s="1010"/>
      <c r="E37" s="786"/>
      <c r="F37" s="662" t="s">
        <v>428</v>
      </c>
      <c r="G37" s="1842">
        <f>ROUNDUP(P12/12/2,-3)</f>
        <v>3288000</v>
      </c>
      <c r="H37" s="1431" t="s">
        <v>21</v>
      </c>
      <c r="I37" s="1843">
        <v>2</v>
      </c>
      <c r="J37" s="1431"/>
      <c r="K37" s="1843"/>
      <c r="L37" s="1837"/>
      <c r="M37" s="1433"/>
      <c r="N37" s="1436"/>
      <c r="O37" s="1436" t="s">
        <v>22</v>
      </c>
      <c r="P37" s="1437">
        <f>ROUNDUP(G37*I37,-3)</f>
        <v>6576000</v>
      </c>
      <c r="Q37" s="1438"/>
      <c r="R37" s="1438"/>
      <c r="S37" s="1439"/>
      <c r="T37" s="1440"/>
    </row>
    <row r="38" spans="1:20" ht="14.45" customHeight="1">
      <c r="A38" s="778"/>
      <c r="B38" s="786"/>
      <c r="C38" s="792"/>
      <c r="D38" s="1010"/>
      <c r="E38" s="786"/>
      <c r="F38" s="662" t="s">
        <v>429</v>
      </c>
      <c r="G38" s="1842">
        <f>ROUNDUP(P13/12/2,-3)</f>
        <v>2898000</v>
      </c>
      <c r="H38" s="1431" t="s">
        <v>21</v>
      </c>
      <c r="I38" s="1843">
        <v>2</v>
      </c>
      <c r="J38" s="1431"/>
      <c r="K38" s="1843"/>
      <c r="L38" s="1837"/>
      <c r="M38" s="1433"/>
      <c r="N38" s="1436"/>
      <c r="O38" s="1436" t="s">
        <v>22</v>
      </c>
      <c r="P38" s="1437">
        <f>ROUNDUP(G38*I38,-3)</f>
        <v>5796000</v>
      </c>
      <c r="Q38" s="1438"/>
      <c r="R38" s="1438"/>
      <c r="S38" s="1439"/>
      <c r="T38" s="1440"/>
    </row>
    <row r="39" spans="1:20" ht="14.45" customHeight="1">
      <c r="A39" s="778"/>
      <c r="B39" s="786"/>
      <c r="C39" s="792"/>
      <c r="D39" s="1010"/>
      <c r="E39" s="786"/>
      <c r="F39" s="662" t="s">
        <v>430</v>
      </c>
      <c r="G39" s="1842">
        <f>ROUNDUP(P14/12/2,-3)</f>
        <v>7313000</v>
      </c>
      <c r="H39" s="1431" t="s">
        <v>21</v>
      </c>
      <c r="I39" s="1843">
        <v>2</v>
      </c>
      <c r="J39" s="1431"/>
      <c r="K39" s="1843"/>
      <c r="L39" s="1837"/>
      <c r="M39" s="1433"/>
      <c r="N39" s="1436"/>
      <c r="O39" s="1436" t="s">
        <v>22</v>
      </c>
      <c r="P39" s="1437">
        <f>ROUNDUP(G39*I39,-3)</f>
        <v>14626000</v>
      </c>
      <c r="Q39" s="1438"/>
      <c r="R39" s="1438"/>
      <c r="S39" s="1439"/>
      <c r="T39" s="1440"/>
    </row>
    <row r="40" spans="1:20" ht="14.45" customHeight="1">
      <c r="A40" s="1130"/>
      <c r="B40" s="846"/>
      <c r="C40" s="780"/>
      <c r="D40" s="779"/>
      <c r="E40" s="846"/>
      <c r="F40" s="2560" t="s">
        <v>1783</v>
      </c>
      <c r="G40" s="3052">
        <v>2498905</v>
      </c>
      <c r="H40" s="1908" t="s">
        <v>21</v>
      </c>
      <c r="I40" s="3053">
        <v>2</v>
      </c>
      <c r="J40" s="1908"/>
      <c r="K40" s="3053"/>
      <c r="L40" s="1910"/>
      <c r="M40" s="1909"/>
      <c r="N40" s="1911"/>
      <c r="O40" s="1911" t="s">
        <v>22</v>
      </c>
      <c r="P40" s="1912">
        <f>ROUNDUP(G40*I40,-3)</f>
        <v>4998000</v>
      </c>
      <c r="Q40" s="1913"/>
      <c r="R40" s="1913"/>
      <c r="S40" s="1914"/>
      <c r="T40" s="1915"/>
    </row>
    <row r="41" spans="1:20" ht="14.45" customHeight="1">
      <c r="A41" s="778"/>
      <c r="B41" s="786"/>
      <c r="C41" s="792"/>
      <c r="D41" s="1010"/>
      <c r="E41" s="786"/>
      <c r="F41" s="1827" t="s">
        <v>49</v>
      </c>
      <c r="G41" s="1828"/>
      <c r="H41" s="1829"/>
      <c r="I41" s="1829"/>
      <c r="J41" s="1829"/>
      <c r="K41" s="1829"/>
      <c r="L41" s="1830"/>
      <c r="M41" s="1829"/>
      <c r="N41" s="1831"/>
      <c r="O41" s="1831"/>
      <c r="P41" s="1832">
        <f>SUM(P42:P46)</f>
        <v>11500000</v>
      </c>
      <c r="Q41" s="1833">
        <f>P41</f>
        <v>11500000</v>
      </c>
      <c r="R41" s="1833">
        <v>16000000</v>
      </c>
      <c r="S41" s="1834">
        <f>+Q41-R41</f>
        <v>-4500000</v>
      </c>
      <c r="T41" s="1835">
        <f>+S41/R41</f>
        <v>-0.28125</v>
      </c>
    </row>
    <row r="42" spans="1:20" ht="14.45" customHeight="1">
      <c r="A42" s="778"/>
      <c r="B42" s="786"/>
      <c r="C42" s="792"/>
      <c r="D42" s="1010"/>
      <c r="E42" s="786"/>
      <c r="F42" s="662" t="s">
        <v>428</v>
      </c>
      <c r="G42" s="1430">
        <v>1869280</v>
      </c>
      <c r="H42" s="1431" t="s">
        <v>21</v>
      </c>
      <c r="I42" s="1840">
        <v>1</v>
      </c>
      <c r="J42" s="1431"/>
      <c r="K42" s="1840"/>
      <c r="L42" s="1434"/>
      <c r="M42" s="1435"/>
      <c r="N42" s="1436"/>
      <c r="O42" s="1436" t="s">
        <v>22</v>
      </c>
      <c r="P42" s="1513">
        <f>G42*I42</f>
        <v>1869280</v>
      </c>
      <c r="Q42" s="1438"/>
      <c r="R42" s="1438"/>
      <c r="S42" s="1439"/>
      <c r="T42" s="1440"/>
    </row>
    <row r="43" spans="1:20" ht="14.45" customHeight="1">
      <c r="A43" s="778"/>
      <c r="B43" s="786"/>
      <c r="C43" s="792"/>
      <c r="D43" s="1010"/>
      <c r="E43" s="786"/>
      <c r="F43" s="662" t="s">
        <v>1791</v>
      </c>
      <c r="G43" s="1430">
        <v>1716160</v>
      </c>
      <c r="H43" s="1431" t="s">
        <v>21</v>
      </c>
      <c r="I43" s="1840">
        <v>1</v>
      </c>
      <c r="J43" s="1431"/>
      <c r="K43" s="1840"/>
      <c r="L43" s="1434"/>
      <c r="M43" s="1435"/>
      <c r="N43" s="1436"/>
      <c r="O43" s="1436" t="s">
        <v>22</v>
      </c>
      <c r="P43" s="1513">
        <f>G43*I43</f>
        <v>1716160</v>
      </c>
      <c r="Q43" s="1438"/>
      <c r="R43" s="1438"/>
      <c r="S43" s="1439"/>
      <c r="T43" s="1440"/>
    </row>
    <row r="44" spans="1:20" ht="14.45" customHeight="1">
      <c r="A44" s="778"/>
      <c r="B44" s="786"/>
      <c r="C44" s="792"/>
      <c r="D44" s="1010"/>
      <c r="E44" s="786"/>
      <c r="F44" s="662" t="s">
        <v>430</v>
      </c>
      <c r="G44" s="1430">
        <v>5140000</v>
      </c>
      <c r="H44" s="1431" t="s">
        <v>21</v>
      </c>
      <c r="I44" s="1840">
        <v>1</v>
      </c>
      <c r="J44" s="1431"/>
      <c r="K44" s="1840"/>
      <c r="L44" s="1434"/>
      <c r="M44" s="1435"/>
      <c r="N44" s="1436"/>
      <c r="O44" s="1436" t="s">
        <v>22</v>
      </c>
      <c r="P44" s="1513">
        <f>G44*I44</f>
        <v>5140000</v>
      </c>
      <c r="Q44" s="1438"/>
      <c r="R44" s="1438"/>
      <c r="S44" s="1439"/>
      <c r="T44" s="1440"/>
    </row>
    <row r="45" spans="1:20" ht="14.45" customHeight="1">
      <c r="A45" s="778"/>
      <c r="B45" s="786"/>
      <c r="C45" s="792"/>
      <c r="D45" s="1010"/>
      <c r="E45" s="786"/>
      <c r="F45" s="662" t="s">
        <v>1783</v>
      </c>
      <c r="G45" s="1430">
        <v>1550080</v>
      </c>
      <c r="H45" s="1431" t="s">
        <v>21</v>
      </c>
      <c r="I45" s="1840">
        <v>1</v>
      </c>
      <c r="J45" s="1431"/>
      <c r="K45" s="1840"/>
      <c r="L45" s="1434"/>
      <c r="M45" s="1435"/>
      <c r="N45" s="1436"/>
      <c r="O45" s="1436" t="s">
        <v>22</v>
      </c>
      <c r="P45" s="1513">
        <f>G45*I45</f>
        <v>1550080</v>
      </c>
      <c r="Q45" s="1438"/>
      <c r="R45" s="1438"/>
      <c r="S45" s="1439"/>
      <c r="T45" s="1440"/>
    </row>
    <row r="46" spans="1:20" ht="14.45" customHeight="1">
      <c r="A46" s="778"/>
      <c r="B46" s="786"/>
      <c r="C46" s="792"/>
      <c r="D46" s="1010"/>
      <c r="E46" s="846"/>
      <c r="F46" s="662" t="s">
        <v>1794</v>
      </c>
      <c r="G46" s="1430">
        <v>1224480</v>
      </c>
      <c r="H46" s="1431" t="s">
        <v>21</v>
      </c>
      <c r="I46" s="1840">
        <v>1</v>
      </c>
      <c r="J46" s="1431"/>
      <c r="K46" s="1840"/>
      <c r="L46" s="1434"/>
      <c r="M46" s="1435"/>
      <c r="N46" s="1436"/>
      <c r="O46" s="1436" t="s">
        <v>22</v>
      </c>
      <c r="P46" s="1513">
        <f>G46*I46</f>
        <v>1224480</v>
      </c>
      <c r="Q46" s="1438"/>
      <c r="R46" s="1438"/>
      <c r="S46" s="1439"/>
      <c r="T46" s="1440"/>
    </row>
    <row r="47" spans="1:20" ht="14.45" customHeight="1">
      <c r="A47" s="778"/>
      <c r="B47" s="786"/>
      <c r="C47" s="792"/>
      <c r="D47" s="1010"/>
      <c r="E47" s="3637" t="s">
        <v>432</v>
      </c>
      <c r="F47" s="3638"/>
      <c r="G47" s="3638"/>
      <c r="H47" s="3638"/>
      <c r="I47" s="3638"/>
      <c r="J47" s="3638"/>
      <c r="K47" s="3638"/>
      <c r="L47" s="3638"/>
      <c r="M47" s="3638"/>
      <c r="N47" s="3638"/>
      <c r="O47" s="3638"/>
      <c r="P47" s="3639"/>
      <c r="Q47" s="645">
        <f>P48+P52</f>
        <v>47920000</v>
      </c>
      <c r="R47" s="645">
        <v>40007000</v>
      </c>
      <c r="S47" s="646">
        <f>+Q47-R47</f>
        <v>7913000</v>
      </c>
      <c r="T47" s="647">
        <f>+S47/R47</f>
        <v>0.19779038668233059</v>
      </c>
    </row>
    <row r="48" spans="1:20" ht="14.45" customHeight="1">
      <c r="A48" s="778"/>
      <c r="B48" s="786"/>
      <c r="C48" s="792"/>
      <c r="D48" s="1010"/>
      <c r="E48" s="786"/>
      <c r="F48" s="1827" t="s">
        <v>1795</v>
      </c>
      <c r="G48" s="1828"/>
      <c r="H48" s="1829"/>
      <c r="I48" s="1829"/>
      <c r="J48" s="1829"/>
      <c r="K48" s="1829"/>
      <c r="L48" s="1830"/>
      <c r="M48" s="1829"/>
      <c r="N48" s="1831"/>
      <c r="O48" s="1831"/>
      <c r="P48" s="1832">
        <f>SUM(P49:P51)</f>
        <v>23960000</v>
      </c>
      <c r="Q48" s="1833">
        <f>P48</f>
        <v>23960000</v>
      </c>
      <c r="R48" s="1833">
        <v>19607000</v>
      </c>
      <c r="S48" s="1834">
        <f>+Q48-R48</f>
        <v>4353000</v>
      </c>
      <c r="T48" s="1835">
        <f>+S48/R48</f>
        <v>0.2220125465395012</v>
      </c>
    </row>
    <row r="49" spans="1:20" ht="14.45" customHeight="1">
      <c r="A49" s="778"/>
      <c r="B49" s="786"/>
      <c r="C49" s="792"/>
      <c r="D49" s="1010"/>
      <c r="E49" s="786"/>
      <c r="F49" s="1429" t="s">
        <v>1796</v>
      </c>
      <c r="G49" s="1430">
        <v>1800000</v>
      </c>
      <c r="H49" s="1431" t="s">
        <v>21</v>
      </c>
      <c r="I49" s="1432">
        <v>1</v>
      </c>
      <c r="J49" s="1431" t="s">
        <v>21</v>
      </c>
      <c r="K49" s="1433">
        <v>12</v>
      </c>
      <c r="L49" s="1434"/>
      <c r="M49" s="1435"/>
      <c r="N49" s="1436"/>
      <c r="O49" s="1436" t="s">
        <v>22</v>
      </c>
      <c r="P49" s="1437">
        <f>G49*I49*K49</f>
        <v>21600000</v>
      </c>
      <c r="Q49" s="1438"/>
      <c r="R49" s="1438"/>
      <c r="S49" s="1439"/>
      <c r="T49" s="1440"/>
    </row>
    <row r="50" spans="1:20" ht="14.45" customHeight="1">
      <c r="A50" s="778"/>
      <c r="B50" s="786"/>
      <c r="C50" s="792"/>
      <c r="D50" s="1010"/>
      <c r="E50" s="786"/>
      <c r="F50" s="1841" t="s">
        <v>42</v>
      </c>
      <c r="G50" s="1430">
        <v>130000</v>
      </c>
      <c r="H50" s="1431" t="s">
        <v>21</v>
      </c>
      <c r="I50" s="1432">
        <v>1</v>
      </c>
      <c r="J50" s="1431" t="s">
        <v>21</v>
      </c>
      <c r="K50" s="1433">
        <v>12</v>
      </c>
      <c r="L50" s="1434"/>
      <c r="M50" s="1435"/>
      <c r="N50" s="1436"/>
      <c r="O50" s="1436" t="s">
        <v>1036</v>
      </c>
      <c r="P50" s="1437">
        <f>G50*I50*K50</f>
        <v>1560000</v>
      </c>
      <c r="Q50" s="1438"/>
      <c r="R50" s="1438"/>
      <c r="S50" s="1439"/>
      <c r="T50" s="1440"/>
    </row>
    <row r="51" spans="1:20" ht="14.45" customHeight="1">
      <c r="A51" s="778"/>
      <c r="B51" s="786"/>
      <c r="C51" s="792"/>
      <c r="D51" s="1010"/>
      <c r="E51" s="786"/>
      <c r="F51" s="1841" t="s">
        <v>1331</v>
      </c>
      <c r="G51" s="1430">
        <v>400000</v>
      </c>
      <c r="H51" s="1431" t="s">
        <v>21</v>
      </c>
      <c r="I51" s="1432">
        <v>1</v>
      </c>
      <c r="J51" s="1431" t="s">
        <v>21</v>
      </c>
      <c r="K51" s="1844">
        <v>2</v>
      </c>
      <c r="L51" s="1434"/>
      <c r="M51" s="1435"/>
      <c r="N51" s="1436"/>
      <c r="O51" s="1436" t="s">
        <v>1797</v>
      </c>
      <c r="P51" s="1437">
        <f>G51*I51*K51</f>
        <v>800000</v>
      </c>
      <c r="Q51" s="1438"/>
      <c r="R51" s="1438"/>
      <c r="S51" s="1439"/>
      <c r="T51" s="1440"/>
    </row>
    <row r="52" spans="1:20" ht="14.45" customHeight="1">
      <c r="A52" s="778"/>
      <c r="B52" s="786"/>
      <c r="C52" s="792"/>
      <c r="D52" s="1010"/>
      <c r="E52" s="786"/>
      <c r="F52" s="1827" t="s">
        <v>1798</v>
      </c>
      <c r="G52" s="1828"/>
      <c r="H52" s="1829"/>
      <c r="I52" s="1829" t="s">
        <v>1799</v>
      </c>
      <c r="J52" s="1829"/>
      <c r="K52" s="1829"/>
      <c r="L52" s="1830"/>
      <c r="M52" s="1829"/>
      <c r="N52" s="1831"/>
      <c r="O52" s="1831"/>
      <c r="P52" s="1832">
        <f>SUM(P53:P55)</f>
        <v>23960000</v>
      </c>
      <c r="Q52" s="1833">
        <f>P52</f>
        <v>23960000</v>
      </c>
      <c r="R52" s="1833">
        <v>20400000</v>
      </c>
      <c r="S52" s="1834">
        <f>+Q52-R52</f>
        <v>3560000</v>
      </c>
      <c r="T52" s="1835">
        <f>+S52/R52</f>
        <v>0.17450980392156862</v>
      </c>
    </row>
    <row r="53" spans="1:20" ht="14.45" customHeight="1">
      <c r="A53" s="778"/>
      <c r="B53" s="786"/>
      <c r="C53" s="792"/>
      <c r="D53" s="1010"/>
      <c r="E53" s="786"/>
      <c r="F53" s="1429" t="s">
        <v>1800</v>
      </c>
      <c r="G53" s="1430">
        <v>1800000</v>
      </c>
      <c r="H53" s="1431" t="s">
        <v>21</v>
      </c>
      <c r="I53" s="1432">
        <v>1</v>
      </c>
      <c r="J53" s="1431" t="s">
        <v>21</v>
      </c>
      <c r="K53" s="1433">
        <v>12</v>
      </c>
      <c r="L53" s="1434"/>
      <c r="M53" s="1435"/>
      <c r="N53" s="1436"/>
      <c r="O53" s="1436" t="s">
        <v>22</v>
      </c>
      <c r="P53" s="1437">
        <f>G53*I53*K53</f>
        <v>21600000</v>
      </c>
      <c r="Q53" s="1438"/>
      <c r="R53" s="1438"/>
      <c r="S53" s="1439"/>
      <c r="T53" s="1440"/>
    </row>
    <row r="54" spans="1:20" ht="14.45" customHeight="1">
      <c r="A54" s="778"/>
      <c r="B54" s="786"/>
      <c r="C54" s="792"/>
      <c r="D54" s="1010"/>
      <c r="E54" s="786"/>
      <c r="F54" s="1841" t="s">
        <v>42</v>
      </c>
      <c r="G54" s="1430">
        <v>130000</v>
      </c>
      <c r="H54" s="1431" t="s">
        <v>21</v>
      </c>
      <c r="I54" s="1432">
        <v>1</v>
      </c>
      <c r="J54" s="1431" t="s">
        <v>21</v>
      </c>
      <c r="K54" s="1433">
        <v>12</v>
      </c>
      <c r="L54" s="1434"/>
      <c r="M54" s="1435"/>
      <c r="N54" s="1436"/>
      <c r="O54" s="1436" t="s">
        <v>1036</v>
      </c>
      <c r="P54" s="1437">
        <f>G54*I54*K54</f>
        <v>1560000</v>
      </c>
      <c r="Q54" s="1438"/>
      <c r="R54" s="1438"/>
      <c r="S54" s="1439"/>
      <c r="T54" s="1440"/>
    </row>
    <row r="55" spans="1:20" ht="14.45" customHeight="1">
      <c r="A55" s="778"/>
      <c r="B55" s="786"/>
      <c r="C55" s="792"/>
      <c r="D55" s="1010"/>
      <c r="E55" s="786"/>
      <c r="F55" s="1841" t="s">
        <v>1801</v>
      </c>
      <c r="G55" s="1430">
        <v>400000</v>
      </c>
      <c r="H55" s="1431" t="s">
        <v>21</v>
      </c>
      <c r="I55" s="1432">
        <v>1</v>
      </c>
      <c r="J55" s="1431" t="s">
        <v>21</v>
      </c>
      <c r="K55" s="1844">
        <v>2</v>
      </c>
      <c r="L55" s="1434"/>
      <c r="M55" s="1435"/>
      <c r="N55" s="1436"/>
      <c r="O55" s="1436" t="s">
        <v>1802</v>
      </c>
      <c r="P55" s="1437">
        <f>G55*I55*K55</f>
        <v>800000</v>
      </c>
      <c r="Q55" s="1438"/>
      <c r="R55" s="1438"/>
      <c r="S55" s="1439"/>
      <c r="T55" s="1440"/>
    </row>
    <row r="56" spans="1:20" ht="14.45" customHeight="1">
      <c r="A56" s="778"/>
      <c r="B56" s="786"/>
      <c r="C56" s="792"/>
      <c r="D56" s="1010"/>
      <c r="E56" s="3637" t="s">
        <v>185</v>
      </c>
      <c r="F56" s="3638"/>
      <c r="G56" s="3638"/>
      <c r="H56" s="3638"/>
      <c r="I56" s="3638"/>
      <c r="J56" s="3638"/>
      <c r="K56" s="3638"/>
      <c r="L56" s="3638"/>
      <c r="M56" s="3638"/>
      <c r="N56" s="3638"/>
      <c r="O56" s="3638"/>
      <c r="P56" s="3639"/>
      <c r="Q56" s="645">
        <f>ROUNDUP(P57,-3)</f>
        <v>47108000</v>
      </c>
      <c r="R56" s="645">
        <v>43070000</v>
      </c>
      <c r="S56" s="646">
        <f>+Q56-R56</f>
        <v>4038000</v>
      </c>
      <c r="T56" s="647">
        <f>+S56/R56</f>
        <v>9.3754353378221494E-2</v>
      </c>
    </row>
    <row r="57" spans="1:20" ht="14.45" customHeight="1">
      <c r="A57" s="778"/>
      <c r="B57" s="786"/>
      <c r="C57" s="792"/>
      <c r="D57" s="1010"/>
      <c r="E57" s="786"/>
      <c r="F57" s="1827" t="s">
        <v>52</v>
      </c>
      <c r="G57" s="1828"/>
      <c r="H57" s="1829"/>
      <c r="I57" s="1829"/>
      <c r="J57" s="1829"/>
      <c r="K57" s="1829"/>
      <c r="L57" s="1830"/>
      <c r="M57" s="1829"/>
      <c r="N57" s="1831"/>
      <c r="O57" s="1831"/>
      <c r="P57" s="1832">
        <f>SUM(P58)</f>
        <v>47108000</v>
      </c>
      <c r="Q57" s="1833">
        <f>P57</f>
        <v>47108000</v>
      </c>
      <c r="R57" s="1833">
        <v>43070000</v>
      </c>
      <c r="S57" s="1834">
        <f>+Q57-R57</f>
        <v>4038000</v>
      </c>
      <c r="T57" s="1835">
        <f>+S57/R57</f>
        <v>9.3754353378221494E-2</v>
      </c>
    </row>
    <row r="58" spans="1:20" ht="14.45" customHeight="1">
      <c r="A58" s="778"/>
      <c r="B58" s="786"/>
      <c r="C58" s="897"/>
      <c r="D58" s="1010"/>
      <c r="E58" s="786"/>
      <c r="F58" s="1841" t="s">
        <v>53</v>
      </c>
      <c r="G58" s="1430">
        <f>SUM(Q9,Q16,Q47)</f>
        <v>565286000</v>
      </c>
      <c r="H58" s="1431" t="s">
        <v>21</v>
      </c>
      <c r="I58" s="3791" t="s">
        <v>1803</v>
      </c>
      <c r="J58" s="3791"/>
      <c r="K58" s="1433"/>
      <c r="L58" s="1837"/>
      <c r="M58" s="1433"/>
      <c r="N58" s="1436"/>
      <c r="O58" s="1436" t="s">
        <v>22</v>
      </c>
      <c r="P58" s="1437">
        <f>ROUNDUP(G58/12,-3)</f>
        <v>47108000</v>
      </c>
      <c r="Q58" s="1438"/>
      <c r="R58" s="1438"/>
      <c r="S58" s="1439"/>
      <c r="T58" s="1440"/>
    </row>
    <row r="59" spans="1:20" ht="14.45" customHeight="1">
      <c r="A59" s="778"/>
      <c r="B59" s="786"/>
      <c r="C59" s="792"/>
      <c r="D59" s="1845" t="s">
        <v>433</v>
      </c>
      <c r="E59" s="3338"/>
      <c r="F59" s="1129"/>
      <c r="G59" s="1846"/>
      <c r="H59" s="1129"/>
      <c r="I59" s="1129"/>
      <c r="J59" s="1129"/>
      <c r="K59" s="1129"/>
      <c r="L59" s="1847"/>
      <c r="M59" s="1847"/>
      <c r="N59" s="1847"/>
      <c r="O59" s="1848"/>
      <c r="P59" s="1129"/>
      <c r="Q59" s="1849">
        <f>Q60+Q67+Q71+Q76+Q79+Q82</f>
        <v>311110000</v>
      </c>
      <c r="R59" s="1849">
        <f>R60+R67+R71+R76+R79+R82</f>
        <v>240808000</v>
      </c>
      <c r="S59" s="639">
        <f>+Q59-R59</f>
        <v>70302000</v>
      </c>
      <c r="T59" s="1825">
        <f>+S59/R59</f>
        <v>0.2919421281684994</v>
      </c>
    </row>
    <row r="60" spans="1:20" ht="14.45" customHeight="1">
      <c r="A60" s="778"/>
      <c r="B60" s="786"/>
      <c r="C60" s="792"/>
      <c r="D60" s="1010"/>
      <c r="E60" s="3637" t="s">
        <v>3003</v>
      </c>
      <c r="F60" s="3638"/>
      <c r="G60" s="3638"/>
      <c r="H60" s="3638"/>
      <c r="I60" s="3638"/>
      <c r="J60" s="3638"/>
      <c r="K60" s="3638"/>
      <c r="L60" s="3638"/>
      <c r="M60" s="3638"/>
      <c r="N60" s="3638"/>
      <c r="O60" s="3638"/>
      <c r="P60" s="3639"/>
      <c r="Q60" s="1049">
        <f>ROUNDUP(P61,-3)</f>
        <v>57546000</v>
      </c>
      <c r="R60" s="1049">
        <v>53068000</v>
      </c>
      <c r="S60" s="646">
        <f>+Q60-R60</f>
        <v>4478000</v>
      </c>
      <c r="T60" s="647">
        <f>+S60/R60</f>
        <v>8.438230195221226E-2</v>
      </c>
    </row>
    <row r="61" spans="1:20" ht="14.45" customHeight="1">
      <c r="A61" s="778"/>
      <c r="B61" s="786"/>
      <c r="C61" s="792"/>
      <c r="D61" s="1010"/>
      <c r="E61" s="786"/>
      <c r="F61" s="1827" t="s">
        <v>56</v>
      </c>
      <c r="G61" s="1828"/>
      <c r="H61" s="1829"/>
      <c r="I61" s="1829"/>
      <c r="J61" s="1829"/>
      <c r="K61" s="1829"/>
      <c r="L61" s="1830"/>
      <c r="M61" s="1829"/>
      <c r="N61" s="1831"/>
      <c r="O61" s="1831"/>
      <c r="P61" s="1832">
        <f>SUM(P62:P66)</f>
        <v>57546000</v>
      </c>
      <c r="Q61" s="1833">
        <f>P61</f>
        <v>57546000</v>
      </c>
      <c r="R61" s="1833">
        <v>53068000</v>
      </c>
      <c r="S61" s="1834">
        <f>+Q61-R61</f>
        <v>4478000</v>
      </c>
      <c r="T61" s="1835">
        <f>+S61/R61</f>
        <v>8.438230195221226E-2</v>
      </c>
    </row>
    <row r="62" spans="1:20" ht="14.45" customHeight="1">
      <c r="A62" s="778"/>
      <c r="B62" s="786"/>
      <c r="C62" s="792"/>
      <c r="D62" s="1010"/>
      <c r="E62" s="786"/>
      <c r="F62" s="1841" t="s">
        <v>57</v>
      </c>
      <c r="G62" s="1430">
        <v>588477000</v>
      </c>
      <c r="H62" s="1431" t="s">
        <v>21</v>
      </c>
      <c r="I62" s="3792">
        <v>4.4999999999999998E-2</v>
      </c>
      <c r="J62" s="3792"/>
      <c r="K62" s="1433"/>
      <c r="L62" s="1837"/>
      <c r="M62" s="1433"/>
      <c r="N62" s="1436"/>
      <c r="O62" s="1436" t="s">
        <v>22</v>
      </c>
      <c r="P62" s="1437">
        <f>ROUNDUP(G62*I62,-3)</f>
        <v>26482000</v>
      </c>
      <c r="Q62" s="1438"/>
      <c r="R62" s="1438"/>
      <c r="S62" s="1439"/>
      <c r="T62" s="1440"/>
    </row>
    <row r="63" spans="1:20" ht="14.45" customHeight="1">
      <c r="A63" s="778"/>
      <c r="B63" s="786"/>
      <c r="C63" s="792"/>
      <c r="D63" s="1010"/>
      <c r="E63" s="786"/>
      <c r="F63" s="1838" t="s">
        <v>58</v>
      </c>
      <c r="G63" s="1430">
        <v>588477000</v>
      </c>
      <c r="H63" s="1431" t="s">
        <v>21</v>
      </c>
      <c r="I63" s="3792">
        <v>3.2300000000000002E-2</v>
      </c>
      <c r="J63" s="3792"/>
      <c r="K63" s="1433"/>
      <c r="L63" s="1837"/>
      <c r="M63" s="1433"/>
      <c r="N63" s="1436"/>
      <c r="O63" s="1436" t="s">
        <v>22</v>
      </c>
      <c r="P63" s="1437">
        <f>ROUNDUP(G63*I63,-3)</f>
        <v>19008000</v>
      </c>
      <c r="Q63" s="1438"/>
      <c r="R63" s="1438"/>
      <c r="S63" s="1439"/>
      <c r="T63" s="1440"/>
    </row>
    <row r="64" spans="1:20" ht="14.45" customHeight="1">
      <c r="A64" s="778"/>
      <c r="B64" s="786"/>
      <c r="C64" s="792"/>
      <c r="D64" s="1010"/>
      <c r="E64" s="786"/>
      <c r="F64" s="1838" t="s">
        <v>59</v>
      </c>
      <c r="G64" s="1430">
        <f>P63</f>
        <v>19008000</v>
      </c>
      <c r="H64" s="1431" t="s">
        <v>21</v>
      </c>
      <c r="I64" s="3792">
        <v>7.3800000000000004E-2</v>
      </c>
      <c r="J64" s="3792"/>
      <c r="K64" s="1433"/>
      <c r="L64" s="1837"/>
      <c r="M64" s="1433"/>
      <c r="N64" s="1436"/>
      <c r="O64" s="1436" t="s">
        <v>22</v>
      </c>
      <c r="P64" s="1437">
        <f>ROUNDUP(G64*I64,-3)</f>
        <v>1403000</v>
      </c>
      <c r="Q64" s="1438"/>
      <c r="R64" s="1438"/>
      <c r="S64" s="1439"/>
      <c r="T64" s="1440"/>
    </row>
    <row r="65" spans="1:20" ht="14.45" customHeight="1">
      <c r="A65" s="778"/>
      <c r="B65" s="786"/>
      <c r="C65" s="792"/>
      <c r="D65" s="1010"/>
      <c r="E65" s="786"/>
      <c r="F65" s="1838" t="s">
        <v>60</v>
      </c>
      <c r="G65" s="1430">
        <f>G63</f>
        <v>588477000</v>
      </c>
      <c r="H65" s="1431" t="s">
        <v>21</v>
      </c>
      <c r="I65" s="3792">
        <v>8.9999999999999993E-3</v>
      </c>
      <c r="J65" s="3792"/>
      <c r="K65" s="1433"/>
      <c r="L65" s="1837"/>
      <c r="M65" s="1433"/>
      <c r="N65" s="1436"/>
      <c r="O65" s="1436" t="s">
        <v>22</v>
      </c>
      <c r="P65" s="1437">
        <f>ROUNDUP(G65*I65,-3)</f>
        <v>5297000</v>
      </c>
      <c r="Q65" s="1438"/>
      <c r="R65" s="1438"/>
      <c r="S65" s="1439"/>
      <c r="T65" s="1440"/>
    </row>
    <row r="66" spans="1:20" ht="14.45" customHeight="1">
      <c r="A66" s="778"/>
      <c r="B66" s="786"/>
      <c r="C66" s="792"/>
      <c r="D66" s="1010"/>
      <c r="E66" s="786"/>
      <c r="F66" s="1838" t="s">
        <v>61</v>
      </c>
      <c r="G66" s="1430">
        <f>G65</f>
        <v>588477000</v>
      </c>
      <c r="H66" s="1431" t="s">
        <v>21</v>
      </c>
      <c r="I66" s="3792">
        <v>9.1000000000000004E-3</v>
      </c>
      <c r="J66" s="3792"/>
      <c r="K66" s="1433"/>
      <c r="L66" s="1837"/>
      <c r="M66" s="1433"/>
      <c r="N66" s="1436"/>
      <c r="O66" s="1436" t="s">
        <v>22</v>
      </c>
      <c r="P66" s="1437">
        <f>ROUNDUP(G66*I66,-3)</f>
        <v>5356000</v>
      </c>
      <c r="Q66" s="1438"/>
      <c r="R66" s="1438"/>
      <c r="S66" s="1439"/>
      <c r="T66" s="1440"/>
    </row>
    <row r="67" spans="1:20" ht="14.45" customHeight="1">
      <c r="A67" s="778"/>
      <c r="B67" s="786"/>
      <c r="C67" s="792"/>
      <c r="D67" s="1010"/>
      <c r="E67" s="3637" t="s">
        <v>3123</v>
      </c>
      <c r="F67" s="3638"/>
      <c r="G67" s="3638"/>
      <c r="H67" s="3638"/>
      <c r="I67" s="3638"/>
      <c r="J67" s="3638"/>
      <c r="K67" s="3638"/>
      <c r="L67" s="3638"/>
      <c r="M67" s="3638"/>
      <c r="N67" s="3638"/>
      <c r="O67" s="3638"/>
      <c r="P67" s="3639"/>
      <c r="Q67" s="645">
        <f>ROUNDUP(P68,-3)</f>
        <v>8400000</v>
      </c>
      <c r="R67" s="645">
        <v>7356000</v>
      </c>
      <c r="S67" s="646">
        <f>+Q67-R67</f>
        <v>1044000</v>
      </c>
      <c r="T67" s="647">
        <f>+S67/R67</f>
        <v>0.14192495921696574</v>
      </c>
    </row>
    <row r="68" spans="1:20" ht="14.45" customHeight="1">
      <c r="A68" s="778"/>
      <c r="B68" s="786"/>
      <c r="C68" s="792"/>
      <c r="D68" s="1010"/>
      <c r="E68" s="786"/>
      <c r="F68" s="1827" t="s">
        <v>71</v>
      </c>
      <c r="G68" s="1828"/>
      <c r="H68" s="1829"/>
      <c r="I68" s="1829"/>
      <c r="J68" s="1829"/>
      <c r="K68" s="1829"/>
      <c r="L68" s="1830"/>
      <c r="M68" s="1829"/>
      <c r="N68" s="1831"/>
      <c r="O68" s="1831"/>
      <c r="P68" s="1832">
        <f>SUM(P69:P70)</f>
        <v>8400000</v>
      </c>
      <c r="Q68" s="1833">
        <f>P68</f>
        <v>8400000</v>
      </c>
      <c r="R68" s="1833">
        <v>7356000</v>
      </c>
      <c r="S68" s="1834">
        <f>+Q68-R68</f>
        <v>1044000</v>
      </c>
      <c r="T68" s="1835">
        <f>+S68/R68</f>
        <v>0.14192495921696574</v>
      </c>
    </row>
    <row r="69" spans="1:20" ht="14.45" customHeight="1">
      <c r="A69" s="778"/>
      <c r="B69" s="786"/>
      <c r="C69" s="792"/>
      <c r="D69" s="1010"/>
      <c r="E69" s="786"/>
      <c r="F69" s="1841" t="s">
        <v>1804</v>
      </c>
      <c r="G69" s="1430">
        <v>200000</v>
      </c>
      <c r="H69" s="1431" t="s">
        <v>21</v>
      </c>
      <c r="I69" s="1433">
        <v>12</v>
      </c>
      <c r="J69" s="1431"/>
      <c r="K69" s="1433"/>
      <c r="L69" s="1837"/>
      <c r="M69" s="1433"/>
      <c r="N69" s="1436"/>
      <c r="O69" s="1436" t="s">
        <v>22</v>
      </c>
      <c r="P69" s="1437">
        <f>ROUNDUP(G69*I69,-3)</f>
        <v>2400000</v>
      </c>
      <c r="Q69" s="1438"/>
      <c r="R69" s="1438"/>
      <c r="S69" s="1439"/>
      <c r="T69" s="1440"/>
    </row>
    <row r="70" spans="1:20" ht="14.45" customHeight="1">
      <c r="A70" s="778"/>
      <c r="B70" s="786"/>
      <c r="C70" s="792"/>
      <c r="D70" s="1010"/>
      <c r="E70" s="786"/>
      <c r="F70" s="1841" t="s">
        <v>1805</v>
      </c>
      <c r="G70" s="1430">
        <v>500000</v>
      </c>
      <c r="H70" s="1431" t="s">
        <v>21</v>
      </c>
      <c r="I70" s="1433">
        <v>12</v>
      </c>
      <c r="J70" s="1431"/>
      <c r="K70" s="1433"/>
      <c r="L70" s="1837"/>
      <c r="M70" s="1433"/>
      <c r="N70" s="1436"/>
      <c r="O70" s="1436" t="s">
        <v>22</v>
      </c>
      <c r="P70" s="1437">
        <f>ROUNDUP(G70*I70,-3)</f>
        <v>6000000</v>
      </c>
      <c r="Q70" s="1438"/>
      <c r="R70" s="1438"/>
      <c r="S70" s="1439"/>
      <c r="T70" s="1440"/>
    </row>
    <row r="71" spans="1:20" ht="14.45" customHeight="1">
      <c r="A71" s="778"/>
      <c r="B71" s="786"/>
      <c r="C71" s="792"/>
      <c r="D71" s="1010"/>
      <c r="E71" s="3637" t="s">
        <v>3130</v>
      </c>
      <c r="F71" s="3638"/>
      <c r="G71" s="3638"/>
      <c r="H71" s="3638"/>
      <c r="I71" s="3638"/>
      <c r="J71" s="3638"/>
      <c r="K71" s="3638"/>
      <c r="L71" s="3638"/>
      <c r="M71" s="3638"/>
      <c r="N71" s="3638"/>
      <c r="O71" s="3638"/>
      <c r="P71" s="3639"/>
      <c r="Q71" s="645">
        <f>P72</f>
        <v>116280000</v>
      </c>
      <c r="R71" s="645">
        <v>101040000</v>
      </c>
      <c r="S71" s="646">
        <f>+Q71-R71</f>
        <v>15240000</v>
      </c>
      <c r="T71" s="647">
        <f>+S71/R71</f>
        <v>0.15083135391923991</v>
      </c>
    </row>
    <row r="72" spans="1:20" ht="14.45" customHeight="1">
      <c r="A72" s="778"/>
      <c r="B72" s="786"/>
      <c r="C72" s="792"/>
      <c r="D72" s="1010"/>
      <c r="E72" s="786"/>
      <c r="F72" s="1827" t="s">
        <v>75</v>
      </c>
      <c r="G72" s="1828"/>
      <c r="H72" s="1829"/>
      <c r="I72" s="1829"/>
      <c r="J72" s="1829"/>
      <c r="K72" s="1829"/>
      <c r="L72" s="1830"/>
      <c r="M72" s="1829"/>
      <c r="N72" s="1831"/>
      <c r="O72" s="1831"/>
      <c r="P72" s="1832">
        <f>SUM(P73:P75)</f>
        <v>116280000</v>
      </c>
      <c r="Q72" s="1833">
        <f>P72</f>
        <v>116280000</v>
      </c>
      <c r="R72" s="1833">
        <v>101040000</v>
      </c>
      <c r="S72" s="1834">
        <f>+Q72-R72</f>
        <v>15240000</v>
      </c>
      <c r="T72" s="1835">
        <f>+S72/R72</f>
        <v>0.15083135391923991</v>
      </c>
    </row>
    <row r="73" spans="1:20" ht="14.45" customHeight="1">
      <c r="A73" s="778"/>
      <c r="B73" s="786"/>
      <c r="C73" s="792"/>
      <c r="D73" s="1010"/>
      <c r="E73" s="786"/>
      <c r="F73" s="1841" t="s">
        <v>739</v>
      </c>
      <c r="G73" s="1430">
        <v>4590000</v>
      </c>
      <c r="H73" s="1431" t="s">
        <v>21</v>
      </c>
      <c r="I73" s="1433">
        <v>12</v>
      </c>
      <c r="J73" s="1431" t="s">
        <v>1605</v>
      </c>
      <c r="K73" s="3789"/>
      <c r="L73" s="3789"/>
      <c r="M73" s="1433"/>
      <c r="N73" s="1436"/>
      <c r="O73" s="1436" t="s">
        <v>22</v>
      </c>
      <c r="P73" s="1437">
        <f>G73*I73</f>
        <v>55080000</v>
      </c>
      <c r="Q73" s="1438"/>
      <c r="R73" s="1438"/>
      <c r="S73" s="1439"/>
      <c r="T73" s="1440"/>
    </row>
    <row r="74" spans="1:20" ht="14.45" customHeight="1">
      <c r="A74" s="778"/>
      <c r="B74" s="786"/>
      <c r="C74" s="792"/>
      <c r="D74" s="1010"/>
      <c r="E74" s="786"/>
      <c r="F74" s="1841" t="s">
        <v>1806</v>
      </c>
      <c r="G74" s="1850">
        <v>4250000</v>
      </c>
      <c r="H74" s="1431" t="s">
        <v>21</v>
      </c>
      <c r="I74" s="1433">
        <v>12</v>
      </c>
      <c r="J74" s="1431"/>
      <c r="K74" s="1433"/>
      <c r="L74" s="1837"/>
      <c r="M74" s="1433"/>
      <c r="N74" s="1436"/>
      <c r="O74" s="1436" t="s">
        <v>22</v>
      </c>
      <c r="P74" s="1437">
        <f>G74*I74</f>
        <v>51000000</v>
      </c>
      <c r="Q74" s="1438"/>
      <c r="R74" s="1438"/>
      <c r="S74" s="1439"/>
      <c r="T74" s="1440"/>
    </row>
    <row r="75" spans="1:20" ht="14.25" customHeight="1">
      <c r="A75" s="778"/>
      <c r="B75" s="786"/>
      <c r="C75" s="792"/>
      <c r="D75" s="1010"/>
      <c r="E75" s="786"/>
      <c r="F75" s="1841" t="s">
        <v>1807</v>
      </c>
      <c r="G75" s="1850">
        <v>850000</v>
      </c>
      <c r="H75" s="1431" t="s">
        <v>21</v>
      </c>
      <c r="I75" s="1433">
        <v>12</v>
      </c>
      <c r="J75" s="1431"/>
      <c r="K75" s="1433"/>
      <c r="L75" s="1837"/>
      <c r="M75" s="1433"/>
      <c r="N75" s="1436"/>
      <c r="O75" s="1436" t="s">
        <v>22</v>
      </c>
      <c r="P75" s="1437">
        <f>G75*I75</f>
        <v>10200000</v>
      </c>
      <c r="Q75" s="1438"/>
      <c r="R75" s="1438"/>
      <c r="S75" s="1439"/>
      <c r="T75" s="1440"/>
    </row>
    <row r="76" spans="1:20" ht="14.45" customHeight="1">
      <c r="A76" s="778"/>
      <c r="B76" s="786"/>
      <c r="C76" s="1010"/>
      <c r="D76" s="1010"/>
      <c r="E76" s="3637" t="s">
        <v>191</v>
      </c>
      <c r="F76" s="3638"/>
      <c r="G76" s="3638"/>
      <c r="H76" s="3638"/>
      <c r="I76" s="3638"/>
      <c r="J76" s="3638"/>
      <c r="K76" s="3638"/>
      <c r="L76" s="3638"/>
      <c r="M76" s="3638"/>
      <c r="N76" s="3638"/>
      <c r="O76" s="3638"/>
      <c r="P76" s="3639"/>
      <c r="Q76" s="645">
        <f>P77</f>
        <v>780000</v>
      </c>
      <c r="R76" s="645">
        <v>0</v>
      </c>
      <c r="S76" s="646">
        <f>+Q76-R76</f>
        <v>780000</v>
      </c>
      <c r="T76" s="647"/>
    </row>
    <row r="77" spans="1:20" ht="14.45" customHeight="1">
      <c r="A77" s="778"/>
      <c r="B77" s="786"/>
      <c r="C77" s="1010"/>
      <c r="D77" s="1010"/>
      <c r="E77" s="786"/>
      <c r="F77" s="1827" t="s">
        <v>88</v>
      </c>
      <c r="G77" s="1828"/>
      <c r="H77" s="1829"/>
      <c r="I77" s="1829"/>
      <c r="J77" s="1829"/>
      <c r="K77" s="1829"/>
      <c r="L77" s="1830"/>
      <c r="M77" s="1829"/>
      <c r="N77" s="1831"/>
      <c r="O77" s="1831"/>
      <c r="P77" s="1832">
        <f>SUM(P78:P78)</f>
        <v>780000</v>
      </c>
      <c r="Q77" s="1833">
        <f>P77</f>
        <v>780000</v>
      </c>
      <c r="R77" s="1833">
        <v>0</v>
      </c>
      <c r="S77" s="1834">
        <f>+Q77-R77</f>
        <v>780000</v>
      </c>
      <c r="T77" s="1835"/>
    </row>
    <row r="78" spans="1:20" ht="14.45" customHeight="1">
      <c r="A78" s="778"/>
      <c r="B78" s="786"/>
      <c r="C78" s="1010"/>
      <c r="D78" s="1010"/>
      <c r="E78" s="786"/>
      <c r="F78" s="1841" t="s">
        <v>1808</v>
      </c>
      <c r="G78" s="1430">
        <v>65000</v>
      </c>
      <c r="H78" s="1431" t="s">
        <v>21</v>
      </c>
      <c r="I78" s="1433">
        <v>12</v>
      </c>
      <c r="J78" s="1431"/>
      <c r="K78" s="1433"/>
      <c r="L78" s="1837"/>
      <c r="M78" s="1433"/>
      <c r="N78" s="1436"/>
      <c r="O78" s="1436" t="s">
        <v>22</v>
      </c>
      <c r="P78" s="1437">
        <f>ROUNDUP(G78*I78,-3)</f>
        <v>780000</v>
      </c>
      <c r="Q78" s="1438"/>
      <c r="R78" s="1438"/>
      <c r="S78" s="1439"/>
      <c r="T78" s="1440"/>
    </row>
    <row r="79" spans="1:20" ht="14.45" customHeight="1">
      <c r="A79" s="778"/>
      <c r="B79" s="786"/>
      <c r="C79" s="1010"/>
      <c r="D79" s="1010"/>
      <c r="E79" s="3637" t="s">
        <v>194</v>
      </c>
      <c r="F79" s="3638"/>
      <c r="G79" s="3638"/>
      <c r="H79" s="3638"/>
      <c r="I79" s="3638"/>
      <c r="J79" s="3638"/>
      <c r="K79" s="3638"/>
      <c r="L79" s="3638"/>
      <c r="M79" s="3638"/>
      <c r="N79" s="3638"/>
      <c r="O79" s="3638"/>
      <c r="P79" s="3639"/>
      <c r="Q79" s="645">
        <f>P80</f>
        <v>70000000</v>
      </c>
      <c r="R79" s="645">
        <v>22940000</v>
      </c>
      <c r="S79" s="646">
        <f>+Q79-R79</f>
        <v>47060000</v>
      </c>
      <c r="T79" s="647">
        <f>+S79/R79</f>
        <v>2.051438535309503</v>
      </c>
    </row>
    <row r="80" spans="1:20" ht="14.45" customHeight="1">
      <c r="A80" s="1130"/>
      <c r="B80" s="846"/>
      <c r="C80" s="779"/>
      <c r="D80" s="779"/>
      <c r="E80" s="846"/>
      <c r="F80" s="1879" t="s">
        <v>94</v>
      </c>
      <c r="G80" s="1880"/>
      <c r="H80" s="1881"/>
      <c r="I80" s="1881"/>
      <c r="J80" s="1881"/>
      <c r="K80" s="1881"/>
      <c r="L80" s="1882"/>
      <c r="M80" s="1881"/>
      <c r="N80" s="1883"/>
      <c r="O80" s="1883"/>
      <c r="P80" s="1884">
        <f>SUM(P81:P81)</f>
        <v>70000000</v>
      </c>
      <c r="Q80" s="1885">
        <f>P80</f>
        <v>70000000</v>
      </c>
      <c r="R80" s="1885">
        <v>22940000</v>
      </c>
      <c r="S80" s="1886">
        <f>+Q80-R80</f>
        <v>47060000</v>
      </c>
      <c r="T80" s="1887">
        <f>+S80/R80</f>
        <v>2.051438535309503</v>
      </c>
    </row>
    <row r="81" spans="1:20" ht="14.45" customHeight="1">
      <c r="A81" s="778"/>
      <c r="B81" s="786"/>
      <c r="C81" s="1010"/>
      <c r="D81" s="1010"/>
      <c r="E81" s="786"/>
      <c r="F81" s="1851" t="s">
        <v>1809</v>
      </c>
      <c r="G81" s="1852">
        <v>70000000</v>
      </c>
      <c r="H81" s="1826" t="s">
        <v>21</v>
      </c>
      <c r="I81" s="1853">
        <v>1</v>
      </c>
      <c r="J81" s="1826"/>
      <c r="K81" s="1826"/>
      <c r="L81" s="1854"/>
      <c r="M81" s="1826"/>
      <c r="N81" s="1855"/>
      <c r="O81" s="1855" t="s">
        <v>22</v>
      </c>
      <c r="P81" s="1839">
        <f>ROUNDUP(G81*I81,-3)</f>
        <v>70000000</v>
      </c>
      <c r="Q81" s="1438"/>
      <c r="R81" s="1438"/>
      <c r="S81" s="1439"/>
      <c r="T81" s="1440"/>
    </row>
    <row r="82" spans="1:20" ht="14.45" customHeight="1">
      <c r="A82" s="778"/>
      <c r="B82" s="786"/>
      <c r="C82" s="1010"/>
      <c r="D82" s="1010"/>
      <c r="E82" s="3637" t="s">
        <v>3131</v>
      </c>
      <c r="F82" s="3638"/>
      <c r="G82" s="3638"/>
      <c r="H82" s="3638"/>
      <c r="I82" s="3638"/>
      <c r="J82" s="3638"/>
      <c r="K82" s="3638"/>
      <c r="L82" s="3638"/>
      <c r="M82" s="3638"/>
      <c r="N82" s="3638"/>
      <c r="O82" s="3638"/>
      <c r="P82" s="3639"/>
      <c r="Q82" s="645">
        <f>ROUNDUP(P83,-3)</f>
        <v>58104000</v>
      </c>
      <c r="R82" s="645">
        <v>56404000</v>
      </c>
      <c r="S82" s="646">
        <f>+Q82-R82</f>
        <v>1700000</v>
      </c>
      <c r="T82" s="647">
        <f>+S82/R82</f>
        <v>3.0139706403801148E-2</v>
      </c>
    </row>
    <row r="83" spans="1:20" ht="14.45" customHeight="1">
      <c r="A83" s="778"/>
      <c r="B83" s="786"/>
      <c r="C83" s="1010"/>
      <c r="D83" s="1010"/>
      <c r="E83" s="3340"/>
      <c r="F83" s="1827" t="s">
        <v>1810</v>
      </c>
      <c r="G83" s="1828"/>
      <c r="H83" s="1829"/>
      <c r="I83" s="1829"/>
      <c r="J83" s="1829"/>
      <c r="K83" s="1829"/>
      <c r="L83" s="1830"/>
      <c r="M83" s="1829"/>
      <c r="N83" s="1831"/>
      <c r="O83" s="1831"/>
      <c r="P83" s="1832">
        <f>SUM(P84)</f>
        <v>58104000</v>
      </c>
      <c r="Q83" s="1833">
        <f>P83</f>
        <v>58104000</v>
      </c>
      <c r="R83" s="1833">
        <v>56404000</v>
      </c>
      <c r="S83" s="1834">
        <f>+Q83-R83</f>
        <v>1700000</v>
      </c>
      <c r="T83" s="1835">
        <f>+S83/R83</f>
        <v>3.0139706403801148E-2</v>
      </c>
    </row>
    <row r="84" spans="1:20" ht="14.45" customHeight="1">
      <c r="A84" s="778"/>
      <c r="B84" s="786"/>
      <c r="C84" s="779"/>
      <c r="D84" s="779"/>
      <c r="E84" s="3341"/>
      <c r="F84" s="1856" t="s">
        <v>1811</v>
      </c>
      <c r="G84" s="1857">
        <v>2421000</v>
      </c>
      <c r="H84" s="1858" t="s">
        <v>21</v>
      </c>
      <c r="I84" s="1859">
        <v>2</v>
      </c>
      <c r="J84" s="1858" t="s">
        <v>21</v>
      </c>
      <c r="K84" s="1860">
        <v>12</v>
      </c>
      <c r="L84" s="1861"/>
      <c r="M84" s="1862"/>
      <c r="N84" s="1863"/>
      <c r="O84" s="1863" t="s">
        <v>1812</v>
      </c>
      <c r="P84" s="1864">
        <f>G84*I84*K84</f>
        <v>58104000</v>
      </c>
      <c r="Q84" s="1865"/>
      <c r="R84" s="1865"/>
      <c r="S84" s="1866"/>
      <c r="T84" s="1867"/>
    </row>
    <row r="85" spans="1:20" ht="14.1" customHeight="1">
      <c r="A85" s="778"/>
      <c r="B85" s="786"/>
      <c r="C85" s="3685" t="s">
        <v>3171</v>
      </c>
      <c r="D85" s="3686"/>
      <c r="E85" s="3686"/>
      <c r="F85" s="3686"/>
      <c r="G85" s="3686"/>
      <c r="H85" s="3686"/>
      <c r="I85" s="3686"/>
      <c r="J85" s="3686"/>
      <c r="K85" s="3686"/>
      <c r="L85" s="3686"/>
      <c r="M85" s="3686"/>
      <c r="N85" s="3686"/>
      <c r="O85" s="3686"/>
      <c r="P85" s="3687"/>
      <c r="Q85" s="1869">
        <f>Q86+Q90</f>
        <v>7600000</v>
      </c>
      <c r="R85" s="1869">
        <f>R86+R90</f>
        <v>246394000</v>
      </c>
      <c r="S85" s="924">
        <f t="shared" ref="S85:S91" si="2">+Q85-R85</f>
        <v>-238794000</v>
      </c>
      <c r="T85" s="925">
        <f>+S85/R85</f>
        <v>-0.96915509306233105</v>
      </c>
    </row>
    <row r="86" spans="1:20" ht="14.1" customHeight="1">
      <c r="A86" s="778"/>
      <c r="B86" s="786"/>
      <c r="C86" s="792"/>
      <c r="D86" s="684" t="s">
        <v>434</v>
      </c>
      <c r="E86" s="634"/>
      <c r="F86" s="635"/>
      <c r="G86" s="636"/>
      <c r="H86" s="635"/>
      <c r="I86" s="635"/>
      <c r="J86" s="635"/>
      <c r="K86" s="635"/>
      <c r="L86" s="1268"/>
      <c r="M86" s="1268"/>
      <c r="N86" s="1268"/>
      <c r="O86" s="637"/>
      <c r="P86" s="635"/>
      <c r="Q86" s="638">
        <f>ROUNDUP(Q87+Q88+Q89,-3)</f>
        <v>0</v>
      </c>
      <c r="R86" s="638">
        <f>ROUNDUP(R87+R88+R89,-3)</f>
        <v>241394000</v>
      </c>
      <c r="S86" s="639">
        <f t="shared" si="2"/>
        <v>-241394000</v>
      </c>
      <c r="T86" s="1825">
        <f>+S86/R86</f>
        <v>-1</v>
      </c>
    </row>
    <row r="87" spans="1:20" ht="14.1" customHeight="1">
      <c r="A87" s="778"/>
      <c r="B87" s="786"/>
      <c r="C87" s="792"/>
      <c r="D87" s="786"/>
      <c r="E87" s="3637" t="s">
        <v>256</v>
      </c>
      <c r="F87" s="3638"/>
      <c r="G87" s="3638"/>
      <c r="H87" s="3638"/>
      <c r="I87" s="3638"/>
      <c r="J87" s="3638"/>
      <c r="K87" s="3638"/>
      <c r="L87" s="3638"/>
      <c r="M87" s="3638"/>
      <c r="N87" s="3638"/>
      <c r="O87" s="3638"/>
      <c r="P87" s="3639"/>
      <c r="Q87" s="645">
        <v>0</v>
      </c>
      <c r="R87" s="645">
        <v>235394000</v>
      </c>
      <c r="S87" s="646">
        <f t="shared" si="2"/>
        <v>-235394000</v>
      </c>
      <c r="T87" s="647">
        <f>+S87/R87</f>
        <v>-1</v>
      </c>
    </row>
    <row r="88" spans="1:20" ht="14.1" customHeight="1">
      <c r="A88" s="778"/>
      <c r="B88" s="786"/>
      <c r="C88" s="792"/>
      <c r="D88" s="1010"/>
      <c r="E88" s="3637" t="s">
        <v>257</v>
      </c>
      <c r="F88" s="3638"/>
      <c r="G88" s="3638"/>
      <c r="H88" s="3638"/>
      <c r="I88" s="3638"/>
      <c r="J88" s="3638"/>
      <c r="K88" s="3638"/>
      <c r="L88" s="3638"/>
      <c r="M88" s="3638"/>
      <c r="N88" s="3638"/>
      <c r="O88" s="3638"/>
      <c r="P88" s="3639"/>
      <c r="Q88" s="1049">
        <v>0</v>
      </c>
      <c r="R88" s="1049">
        <v>0</v>
      </c>
      <c r="S88" s="1050">
        <f t="shared" si="2"/>
        <v>0</v>
      </c>
      <c r="T88" s="647"/>
    </row>
    <row r="89" spans="1:20" ht="14.1" customHeight="1">
      <c r="A89" s="778"/>
      <c r="B89" s="786"/>
      <c r="C89" s="792"/>
      <c r="D89" s="786"/>
      <c r="E89" s="3637" t="s">
        <v>782</v>
      </c>
      <c r="F89" s="3638"/>
      <c r="G89" s="3638"/>
      <c r="H89" s="3638"/>
      <c r="I89" s="3638"/>
      <c r="J89" s="3638"/>
      <c r="K89" s="3638"/>
      <c r="L89" s="3638"/>
      <c r="M89" s="3638"/>
      <c r="N89" s="3638"/>
      <c r="O89" s="3638"/>
      <c r="P89" s="3639"/>
      <c r="Q89" s="1049">
        <v>0</v>
      </c>
      <c r="R89" s="1049">
        <v>6000000</v>
      </c>
      <c r="S89" s="1050">
        <f t="shared" si="2"/>
        <v>-6000000</v>
      </c>
      <c r="T89" s="1051">
        <f>+S89/R89</f>
        <v>-1</v>
      </c>
    </row>
    <row r="90" spans="1:20" ht="14.1" customHeight="1">
      <c r="A90" s="778"/>
      <c r="B90" s="786"/>
      <c r="C90" s="792"/>
      <c r="D90" s="715" t="s">
        <v>258</v>
      </c>
      <c r="E90" s="634"/>
      <c r="F90" s="635"/>
      <c r="G90" s="636"/>
      <c r="H90" s="635"/>
      <c r="I90" s="635"/>
      <c r="J90" s="635"/>
      <c r="K90" s="635"/>
      <c r="L90" s="1268"/>
      <c r="M90" s="1268"/>
      <c r="N90" s="1268"/>
      <c r="O90" s="637"/>
      <c r="P90" s="635"/>
      <c r="Q90" s="638">
        <f>Q91</f>
        <v>7600000</v>
      </c>
      <c r="R90" s="638">
        <f>R91</f>
        <v>5000000</v>
      </c>
      <c r="S90" s="639">
        <f t="shared" si="2"/>
        <v>2600000</v>
      </c>
      <c r="T90" s="1825">
        <f>+S90/R90</f>
        <v>0.52</v>
      </c>
    </row>
    <row r="91" spans="1:20" ht="14.1" customHeight="1">
      <c r="A91" s="778"/>
      <c r="B91" s="786"/>
      <c r="C91" s="792"/>
      <c r="D91" s="1010"/>
      <c r="E91" s="3637" t="s">
        <v>2947</v>
      </c>
      <c r="F91" s="3638"/>
      <c r="G91" s="3638"/>
      <c r="H91" s="3638"/>
      <c r="I91" s="3638"/>
      <c r="J91" s="3638"/>
      <c r="K91" s="3638"/>
      <c r="L91" s="3638"/>
      <c r="M91" s="3638"/>
      <c r="N91" s="3638"/>
      <c r="O91" s="3638"/>
      <c r="P91" s="3639"/>
      <c r="Q91" s="645">
        <f>P92+P97+P100</f>
        <v>7600000</v>
      </c>
      <c r="R91" s="645">
        <f>SUM(R92:R104)</f>
        <v>5000000</v>
      </c>
      <c r="S91" s="646">
        <f t="shared" si="2"/>
        <v>2600000</v>
      </c>
      <c r="T91" s="647">
        <f>+S91/R91</f>
        <v>0.52</v>
      </c>
    </row>
    <row r="92" spans="1:20" ht="14.1" customHeight="1">
      <c r="A92" s="778"/>
      <c r="B92" s="786"/>
      <c r="C92" s="792"/>
      <c r="D92" s="1010"/>
      <c r="E92" s="844"/>
      <c r="F92" s="1827" t="s">
        <v>1813</v>
      </c>
      <c r="G92" s="1828"/>
      <c r="H92" s="1829"/>
      <c r="I92" s="1829"/>
      <c r="J92" s="1829"/>
      <c r="K92" s="1829"/>
      <c r="L92" s="1830"/>
      <c r="M92" s="1829"/>
      <c r="N92" s="1831"/>
      <c r="O92" s="1831"/>
      <c r="P92" s="1832">
        <f>SUM(P93:P96)</f>
        <v>4800000</v>
      </c>
      <c r="Q92" s="1833">
        <f>P92</f>
        <v>4800000</v>
      </c>
      <c r="R92" s="1833">
        <v>3500000</v>
      </c>
      <c r="S92" s="1834">
        <f>+Q92-R92</f>
        <v>1300000</v>
      </c>
      <c r="T92" s="1835">
        <f>+S92/R92</f>
        <v>0.37142857142857144</v>
      </c>
    </row>
    <row r="93" spans="1:20" ht="14.1" customHeight="1">
      <c r="A93" s="778"/>
      <c r="B93" s="786"/>
      <c r="C93" s="792"/>
      <c r="D93" s="1010"/>
      <c r="E93" s="786"/>
      <c r="F93" s="1841" t="s">
        <v>2694</v>
      </c>
      <c r="G93" s="1850">
        <v>300000</v>
      </c>
      <c r="H93" s="1431" t="s">
        <v>21</v>
      </c>
      <c r="I93" s="1844">
        <v>1</v>
      </c>
      <c r="J93" s="1431"/>
      <c r="K93" s="1431"/>
      <c r="L93" s="1434"/>
      <c r="M93" s="1431"/>
      <c r="N93" s="1436"/>
      <c r="O93" s="1436" t="s">
        <v>22</v>
      </c>
      <c r="P93" s="1437">
        <f>G93*I93</f>
        <v>300000</v>
      </c>
      <c r="Q93" s="1438"/>
      <c r="R93" s="1438"/>
      <c r="S93" s="1439"/>
      <c r="T93" s="1870"/>
    </row>
    <row r="94" spans="1:20" ht="14.1" customHeight="1">
      <c r="A94" s="778"/>
      <c r="B94" s="786"/>
      <c r="C94" s="792"/>
      <c r="D94" s="1010"/>
      <c r="E94" s="786"/>
      <c r="F94" s="1841" t="s">
        <v>2695</v>
      </c>
      <c r="G94" s="1850">
        <v>625000</v>
      </c>
      <c r="H94" s="1431" t="s">
        <v>2696</v>
      </c>
      <c r="I94" s="1844">
        <v>4</v>
      </c>
      <c r="J94" s="1431"/>
      <c r="K94" s="1431"/>
      <c r="L94" s="1434"/>
      <c r="M94" s="1431"/>
      <c r="N94" s="1436"/>
      <c r="O94" s="1436" t="s">
        <v>22</v>
      </c>
      <c r="P94" s="1437">
        <f>G94*I94</f>
        <v>2500000</v>
      </c>
      <c r="Q94" s="1438"/>
      <c r="R94" s="1438"/>
      <c r="S94" s="1439"/>
      <c r="T94" s="1870"/>
    </row>
    <row r="95" spans="1:20" ht="14.1" customHeight="1">
      <c r="A95" s="778"/>
      <c r="B95" s="786"/>
      <c r="C95" s="792"/>
      <c r="D95" s="1010"/>
      <c r="E95" s="786"/>
      <c r="F95" s="1841" t="s">
        <v>2697</v>
      </c>
      <c r="G95" s="1850">
        <v>100000</v>
      </c>
      <c r="H95" s="1431" t="s">
        <v>21</v>
      </c>
      <c r="I95" s="1844">
        <v>4</v>
      </c>
      <c r="J95" s="1431"/>
      <c r="K95" s="1431"/>
      <c r="L95" s="1434"/>
      <c r="M95" s="1431"/>
      <c r="N95" s="1436"/>
      <c r="O95" s="1436" t="s">
        <v>22</v>
      </c>
      <c r="P95" s="1437">
        <f t="shared" ref="P95:P96" si="3">G95*I95</f>
        <v>400000</v>
      </c>
      <c r="Q95" s="1438"/>
      <c r="R95" s="1438"/>
      <c r="S95" s="1439"/>
      <c r="T95" s="1870"/>
    </row>
    <row r="96" spans="1:20" ht="14.1" customHeight="1">
      <c r="A96" s="778"/>
      <c r="B96" s="786"/>
      <c r="C96" s="792"/>
      <c r="D96" s="1010"/>
      <c r="E96" s="786"/>
      <c r="F96" s="1841" t="s">
        <v>2698</v>
      </c>
      <c r="G96" s="1850">
        <v>800000</v>
      </c>
      <c r="H96" s="1431" t="s">
        <v>21</v>
      </c>
      <c r="I96" s="1844">
        <v>2</v>
      </c>
      <c r="J96" s="1431"/>
      <c r="K96" s="1431"/>
      <c r="L96" s="1434"/>
      <c r="M96" s="1431"/>
      <c r="N96" s="1436"/>
      <c r="O96" s="1436" t="s">
        <v>22</v>
      </c>
      <c r="P96" s="1437">
        <f t="shared" si="3"/>
        <v>1600000</v>
      </c>
      <c r="Q96" s="1438"/>
      <c r="R96" s="1438"/>
      <c r="S96" s="1439"/>
      <c r="T96" s="1870"/>
    </row>
    <row r="97" spans="1:20 16384:16384" ht="14.1" customHeight="1">
      <c r="A97" s="778"/>
      <c r="B97" s="786"/>
      <c r="C97" s="792"/>
      <c r="D97" s="1010"/>
      <c r="E97" s="786"/>
      <c r="F97" s="1827" t="s">
        <v>1814</v>
      </c>
      <c r="G97" s="1828"/>
      <c r="H97" s="1829"/>
      <c r="I97" s="1829"/>
      <c r="J97" s="1829"/>
      <c r="K97" s="1829"/>
      <c r="L97" s="1830"/>
      <c r="M97" s="1829"/>
      <c r="N97" s="1831"/>
      <c r="O97" s="1831"/>
      <c r="P97" s="1832">
        <f>SUM(P98:P99)</f>
        <v>2200000</v>
      </c>
      <c r="Q97" s="1833">
        <f>P97</f>
        <v>2200000</v>
      </c>
      <c r="R97" s="1833">
        <v>0</v>
      </c>
      <c r="S97" s="1834">
        <f>+Q97-R97</f>
        <v>2200000</v>
      </c>
      <c r="T97" s="1835"/>
    </row>
    <row r="98" spans="1:20 16384:16384" ht="14.1" customHeight="1">
      <c r="A98" s="778"/>
      <c r="B98" s="786"/>
      <c r="C98" s="1010"/>
      <c r="D98" s="1010"/>
      <c r="E98" s="786"/>
      <c r="F98" s="1841" t="s">
        <v>2699</v>
      </c>
      <c r="G98" s="1850">
        <v>400000</v>
      </c>
      <c r="H98" s="1431" t="s">
        <v>21</v>
      </c>
      <c r="I98" s="1844">
        <v>4</v>
      </c>
      <c r="J98" s="1431"/>
      <c r="K98" s="1431"/>
      <c r="L98" s="1434"/>
      <c r="M98" s="1431"/>
      <c r="N98" s="1436"/>
      <c r="O98" s="1436" t="s">
        <v>22</v>
      </c>
      <c r="P98" s="1437">
        <f>G98*I98</f>
        <v>1600000</v>
      </c>
      <c r="Q98" s="1438"/>
      <c r="R98" s="1438"/>
      <c r="S98" s="1439"/>
      <c r="T98" s="1870"/>
    </row>
    <row r="99" spans="1:20 16384:16384" ht="13.5" customHeight="1">
      <c r="A99" s="778"/>
      <c r="B99" s="786"/>
      <c r="C99" s="1010"/>
      <c r="D99" s="1010"/>
      <c r="E99" s="786"/>
      <c r="F99" s="1841" t="s">
        <v>2700</v>
      </c>
      <c r="G99" s="1430">
        <v>600000</v>
      </c>
      <c r="H99" s="1431" t="s">
        <v>21</v>
      </c>
      <c r="I99" s="1871">
        <v>1</v>
      </c>
      <c r="J99" s="1431"/>
      <c r="K99" s="1433"/>
      <c r="L99" s="1837"/>
      <c r="M99" s="1433"/>
      <c r="N99" s="1436"/>
      <c r="O99" s="1436" t="s">
        <v>22</v>
      </c>
      <c r="P99" s="1437">
        <f>G99*I99</f>
        <v>600000</v>
      </c>
      <c r="Q99" s="1438"/>
      <c r="R99" s="1438"/>
      <c r="S99" s="1439"/>
      <c r="T99" s="1870"/>
    </row>
    <row r="100" spans="1:20 16384:16384" ht="14.1" customHeight="1">
      <c r="A100" s="778"/>
      <c r="B100" s="786"/>
      <c r="C100" s="1010"/>
      <c r="D100" s="1010"/>
      <c r="E100" s="786"/>
      <c r="F100" s="1827" t="s">
        <v>1815</v>
      </c>
      <c r="G100" s="1828"/>
      <c r="H100" s="1829"/>
      <c r="I100" s="1829"/>
      <c r="J100" s="1829"/>
      <c r="K100" s="1829"/>
      <c r="L100" s="1830"/>
      <c r="M100" s="1829"/>
      <c r="N100" s="1831"/>
      <c r="O100" s="1831" t="s">
        <v>1605</v>
      </c>
      <c r="P100" s="1832">
        <f>SUM(P101:P102)</f>
        <v>600000</v>
      </c>
      <c r="Q100" s="1833">
        <f>P100</f>
        <v>600000</v>
      </c>
      <c r="R100" s="1833">
        <v>0</v>
      </c>
      <c r="S100" s="1834">
        <f>+Q100-R100</f>
        <v>600000</v>
      </c>
      <c r="T100" s="1835"/>
    </row>
    <row r="101" spans="1:20 16384:16384" ht="14.1" customHeight="1">
      <c r="A101" s="778"/>
      <c r="B101" s="786"/>
      <c r="C101" s="1010"/>
      <c r="D101" s="1010"/>
      <c r="E101" s="786"/>
      <c r="F101" s="1841" t="s">
        <v>2701</v>
      </c>
      <c r="G101" s="1850">
        <v>100000</v>
      </c>
      <c r="H101" s="1431" t="s">
        <v>21</v>
      </c>
      <c r="I101" s="1872">
        <v>5</v>
      </c>
      <c r="J101" s="1431"/>
      <c r="K101" s="1433"/>
      <c r="L101" s="1837"/>
      <c r="M101" s="1433"/>
      <c r="N101" s="1436"/>
      <c r="O101" s="1436" t="s">
        <v>22</v>
      </c>
      <c r="P101" s="1873">
        <f>G101*I101</f>
        <v>500000</v>
      </c>
      <c r="Q101" s="1438"/>
      <c r="R101" s="1438"/>
      <c r="S101" s="1439"/>
      <c r="T101" s="1870"/>
    </row>
    <row r="102" spans="1:20 16384:16384" ht="13.5" customHeight="1">
      <c r="A102" s="778"/>
      <c r="B102" s="786"/>
      <c r="C102" s="1010"/>
      <c r="D102" s="786"/>
      <c r="E102" s="786"/>
      <c r="F102" s="1841" t="s">
        <v>2702</v>
      </c>
      <c r="G102" s="1852">
        <v>100000</v>
      </c>
      <c r="H102" s="1826" t="s">
        <v>21</v>
      </c>
      <c r="I102" s="1872">
        <v>1</v>
      </c>
      <c r="J102" s="1826"/>
      <c r="K102" s="1874"/>
      <c r="L102" s="1875"/>
      <c r="M102" s="1874"/>
      <c r="N102" s="1855"/>
      <c r="O102" s="1855" t="s">
        <v>22</v>
      </c>
      <c r="P102" s="1839">
        <f>G102*I102</f>
        <v>100000</v>
      </c>
      <c r="Q102" s="1876"/>
      <c r="R102" s="1876"/>
      <c r="S102" s="1877"/>
      <c r="T102" s="1878"/>
    </row>
    <row r="103" spans="1:20 16384:16384" ht="13.5" customHeight="1">
      <c r="A103" s="778"/>
      <c r="B103" s="786"/>
      <c r="C103" s="1010"/>
      <c r="D103" s="786"/>
      <c r="E103" s="786"/>
      <c r="F103" s="1827" t="s">
        <v>2904</v>
      </c>
      <c r="G103" s="1828"/>
      <c r="H103" s="1829"/>
      <c r="I103" s="1829"/>
      <c r="J103" s="1829"/>
      <c r="K103" s="1829"/>
      <c r="L103" s="1830"/>
      <c r="M103" s="1829"/>
      <c r="N103" s="1831"/>
      <c r="O103" s="1831"/>
      <c r="P103" s="1832"/>
      <c r="Q103" s="1833">
        <f>P103</f>
        <v>0</v>
      </c>
      <c r="R103" s="1833">
        <v>1300000</v>
      </c>
      <c r="S103" s="1834">
        <f t="shared" ref="S103:S108" si="4">+Q103-R103</f>
        <v>-1300000</v>
      </c>
      <c r="T103" s="1835">
        <f>+S103/R103</f>
        <v>-1</v>
      </c>
    </row>
    <row r="104" spans="1:20 16384:16384" ht="13.5" customHeight="1">
      <c r="A104" s="778"/>
      <c r="B104" s="786"/>
      <c r="C104" s="779"/>
      <c r="D104" s="846"/>
      <c r="E104" s="3281"/>
      <c r="F104" s="1879" t="s">
        <v>2905</v>
      </c>
      <c r="G104" s="1880"/>
      <c r="H104" s="1881"/>
      <c r="I104" s="1881"/>
      <c r="J104" s="1881"/>
      <c r="K104" s="1881"/>
      <c r="L104" s="1882"/>
      <c r="M104" s="1881"/>
      <c r="N104" s="1883"/>
      <c r="O104" s="1883"/>
      <c r="P104" s="1884"/>
      <c r="Q104" s="1885">
        <f>P104</f>
        <v>0</v>
      </c>
      <c r="R104" s="1885">
        <v>200000</v>
      </c>
      <c r="S104" s="1886">
        <f t="shared" si="4"/>
        <v>-200000</v>
      </c>
      <c r="T104" s="1887">
        <f>+S104/R104</f>
        <v>-1</v>
      </c>
    </row>
    <row r="105" spans="1:20 16384:16384" ht="14.1" customHeight="1">
      <c r="A105" s="778"/>
      <c r="B105" s="786"/>
      <c r="C105" s="3685" t="s">
        <v>3172</v>
      </c>
      <c r="D105" s="3686"/>
      <c r="E105" s="3686"/>
      <c r="F105" s="3686"/>
      <c r="G105" s="3686"/>
      <c r="H105" s="3686"/>
      <c r="I105" s="3686"/>
      <c r="J105" s="3686"/>
      <c r="K105" s="3686"/>
      <c r="L105" s="3686"/>
      <c r="M105" s="3686"/>
      <c r="N105" s="3686"/>
      <c r="O105" s="3686"/>
      <c r="P105" s="3687"/>
      <c r="Q105" s="1869">
        <f>Q106+Q120+Q210+Q206</f>
        <v>757488000</v>
      </c>
      <c r="R105" s="1869">
        <f>R106+R120+R210+R206</f>
        <v>852468000</v>
      </c>
      <c r="S105" s="924">
        <f t="shared" si="4"/>
        <v>-94980000</v>
      </c>
      <c r="T105" s="925">
        <f>+S105/R105</f>
        <v>-0.11141767198299525</v>
      </c>
      <c r="XFD105" s="1120">
        <f>SUM(Q105:XFC105)</f>
        <v>1514975999.8885822</v>
      </c>
    </row>
    <row r="106" spans="1:20 16384:16384" ht="14.1" customHeight="1">
      <c r="A106" s="778"/>
      <c r="B106" s="786"/>
      <c r="C106" s="792"/>
      <c r="D106" s="1888" t="s">
        <v>2041</v>
      </c>
      <c r="E106" s="634"/>
      <c r="F106" s="635"/>
      <c r="G106" s="636"/>
      <c r="H106" s="635"/>
      <c r="I106" s="635"/>
      <c r="J106" s="635"/>
      <c r="K106" s="635"/>
      <c r="L106" s="1268"/>
      <c r="M106" s="1268"/>
      <c r="N106" s="1268"/>
      <c r="O106" s="637"/>
      <c r="P106" s="635"/>
      <c r="Q106" s="638">
        <f>Q107+Q110+Q115</f>
        <v>35699000</v>
      </c>
      <c r="R106" s="638">
        <f>R107+R110+R115</f>
        <v>34302000</v>
      </c>
      <c r="S106" s="639">
        <f t="shared" si="4"/>
        <v>1397000</v>
      </c>
      <c r="T106" s="1825">
        <f>+S106/R106</f>
        <v>4.0726488251413909E-2</v>
      </c>
    </row>
    <row r="107" spans="1:20 16384:16384" ht="14.1" customHeight="1">
      <c r="A107" s="778"/>
      <c r="B107" s="786"/>
      <c r="C107" s="792"/>
      <c r="D107" s="1010"/>
      <c r="E107" s="3637" t="s">
        <v>184</v>
      </c>
      <c r="F107" s="3638"/>
      <c r="G107" s="3638"/>
      <c r="H107" s="3638"/>
      <c r="I107" s="3638"/>
      <c r="J107" s="3638"/>
      <c r="K107" s="3638"/>
      <c r="L107" s="3638"/>
      <c r="M107" s="3638"/>
      <c r="N107" s="3638"/>
      <c r="O107" s="3638"/>
      <c r="P107" s="3639"/>
      <c r="Q107" s="645">
        <f>P108</f>
        <v>10720000</v>
      </c>
      <c r="R107" s="645">
        <f>R108</f>
        <v>0</v>
      </c>
      <c r="S107" s="646">
        <f t="shared" si="4"/>
        <v>10720000</v>
      </c>
      <c r="T107" s="647"/>
    </row>
    <row r="108" spans="1:20 16384:16384" ht="14.1" customHeight="1">
      <c r="A108" s="778"/>
      <c r="B108" s="786"/>
      <c r="C108" s="792"/>
      <c r="D108" s="1010"/>
      <c r="E108" s="786"/>
      <c r="F108" s="1827" t="s">
        <v>1816</v>
      </c>
      <c r="G108" s="1828"/>
      <c r="H108" s="1829"/>
      <c r="I108" s="1829"/>
      <c r="J108" s="1829"/>
      <c r="K108" s="1829"/>
      <c r="L108" s="1830"/>
      <c r="M108" s="1829"/>
      <c r="N108" s="1831"/>
      <c r="O108" s="1831"/>
      <c r="P108" s="1832">
        <f>SUM(P109)</f>
        <v>10720000</v>
      </c>
      <c r="Q108" s="1833">
        <f>P108</f>
        <v>10720000</v>
      </c>
      <c r="R108" s="1833">
        <v>0</v>
      </c>
      <c r="S108" s="1834">
        <f t="shared" si="4"/>
        <v>10720000</v>
      </c>
      <c r="T108" s="1835"/>
    </row>
    <row r="109" spans="1:20 16384:16384" ht="14.1" customHeight="1">
      <c r="A109" s="778"/>
      <c r="B109" s="786"/>
      <c r="C109" s="792"/>
      <c r="D109" s="1010"/>
      <c r="E109" s="786"/>
      <c r="F109" s="1841" t="s">
        <v>2703</v>
      </c>
      <c r="G109" s="1430">
        <f>7540000+3180000</f>
        <v>10720000</v>
      </c>
      <c r="H109" s="1431" t="s">
        <v>21</v>
      </c>
      <c r="I109" s="1871">
        <v>1</v>
      </c>
      <c r="J109" s="1431"/>
      <c r="K109" s="1433"/>
      <c r="L109" s="1837"/>
      <c r="M109" s="1433"/>
      <c r="N109" s="1436"/>
      <c r="O109" s="1436" t="s">
        <v>1817</v>
      </c>
      <c r="P109" s="1437">
        <f>G109*I109</f>
        <v>10720000</v>
      </c>
      <c r="Q109" s="1876"/>
      <c r="R109" s="1876"/>
      <c r="S109" s="1877"/>
      <c r="T109" s="1889"/>
    </row>
    <row r="110" spans="1:20 16384:16384" s="1137" customFormat="1" ht="15" customHeight="1">
      <c r="A110" s="1890"/>
      <c r="B110" s="1891"/>
      <c r="C110" s="1892"/>
      <c r="D110" s="1891"/>
      <c r="E110" s="3637" t="s">
        <v>432</v>
      </c>
      <c r="F110" s="3638"/>
      <c r="G110" s="3638"/>
      <c r="H110" s="3638"/>
      <c r="I110" s="3638"/>
      <c r="J110" s="3638"/>
      <c r="K110" s="3638"/>
      <c r="L110" s="3638"/>
      <c r="M110" s="3638"/>
      <c r="N110" s="3638"/>
      <c r="O110" s="3638"/>
      <c r="P110" s="3639"/>
      <c r="Q110" s="1426">
        <f>ROUNDUP(P111+P113,-3)</f>
        <v>22200000</v>
      </c>
      <c r="R110" s="1426">
        <f>SUM(R111:R114)</f>
        <v>18200000</v>
      </c>
      <c r="S110" s="1427">
        <f>Q110-R110</f>
        <v>4000000</v>
      </c>
      <c r="T110" s="1428">
        <f>+S110/R110</f>
        <v>0.21978021978021978</v>
      </c>
    </row>
    <row r="111" spans="1:20 16384:16384" s="1137" customFormat="1" ht="15" customHeight="1">
      <c r="A111" s="1890"/>
      <c r="B111" s="1891"/>
      <c r="C111" s="1892"/>
      <c r="D111" s="1891"/>
      <c r="E111" s="3336"/>
      <c r="F111" s="1827" t="s">
        <v>757</v>
      </c>
      <c r="G111" s="1828"/>
      <c r="H111" s="1829"/>
      <c r="I111" s="1829"/>
      <c r="J111" s="1829"/>
      <c r="K111" s="1829"/>
      <c r="L111" s="1830"/>
      <c r="M111" s="1829"/>
      <c r="N111" s="1831"/>
      <c r="O111" s="1831"/>
      <c r="P111" s="1832">
        <f>SUM(P112)</f>
        <v>19200000</v>
      </c>
      <c r="Q111" s="1833">
        <f>P111</f>
        <v>19200000</v>
      </c>
      <c r="R111" s="1833">
        <v>3200000</v>
      </c>
      <c r="S111" s="1834">
        <f>+Q111-R111</f>
        <v>16000000</v>
      </c>
      <c r="T111" s="1835">
        <f>+S111/R111</f>
        <v>5</v>
      </c>
    </row>
    <row r="112" spans="1:20 16384:16384" s="1137" customFormat="1" ht="15" customHeight="1">
      <c r="A112" s="1890"/>
      <c r="B112" s="1891"/>
      <c r="C112" s="1892"/>
      <c r="D112" s="1891"/>
      <c r="E112" s="3336"/>
      <c r="F112" s="1841" t="s">
        <v>1818</v>
      </c>
      <c r="G112" s="1850">
        <v>1600000</v>
      </c>
      <c r="H112" s="1431" t="s">
        <v>21</v>
      </c>
      <c r="I112" s="1518">
        <v>12</v>
      </c>
      <c r="J112" s="1431" t="s">
        <v>1799</v>
      </c>
      <c r="K112" s="1431" t="s">
        <v>2981</v>
      </c>
      <c r="L112" s="1434"/>
      <c r="M112" s="1431"/>
      <c r="N112" s="1436"/>
      <c r="O112" s="1436" t="s">
        <v>22</v>
      </c>
      <c r="P112" s="1437">
        <f>ROUNDUP(G112*I112,-3)</f>
        <v>19200000</v>
      </c>
      <c r="Q112" s="1438"/>
      <c r="R112" s="1438"/>
      <c r="S112" s="1439"/>
      <c r="T112" s="1440"/>
    </row>
    <row r="113" spans="1:20" s="1137" customFormat="1" ht="15" customHeight="1">
      <c r="A113" s="1890"/>
      <c r="B113" s="1891"/>
      <c r="C113" s="1892"/>
      <c r="D113" s="1891"/>
      <c r="E113" s="3301"/>
      <c r="F113" s="1827" t="s">
        <v>1819</v>
      </c>
      <c r="G113" s="1828"/>
      <c r="H113" s="1829"/>
      <c r="I113" s="1829"/>
      <c r="J113" s="1829"/>
      <c r="K113" s="1829"/>
      <c r="L113" s="1830"/>
      <c r="M113" s="1829"/>
      <c r="N113" s="1831"/>
      <c r="O113" s="1831"/>
      <c r="P113" s="1832">
        <f>SUM(P114)</f>
        <v>3000000</v>
      </c>
      <c r="Q113" s="1833">
        <f>P113</f>
        <v>3000000</v>
      </c>
      <c r="R113" s="1833">
        <v>15000000</v>
      </c>
      <c r="S113" s="1834">
        <f>+Q113-R113</f>
        <v>-12000000</v>
      </c>
      <c r="T113" s="1835">
        <f>+S113/R113</f>
        <v>-0.8</v>
      </c>
    </row>
    <row r="114" spans="1:20" s="1137" customFormat="1" ht="15" customHeight="1">
      <c r="A114" s="1890"/>
      <c r="B114" s="1891"/>
      <c r="C114" s="1892"/>
      <c r="D114" s="1891"/>
      <c r="E114" s="3301"/>
      <c r="F114" s="1841" t="s">
        <v>1820</v>
      </c>
      <c r="G114" s="1430">
        <v>3000000</v>
      </c>
      <c r="H114" s="1431" t="s">
        <v>21</v>
      </c>
      <c r="I114" s="1871">
        <v>1</v>
      </c>
      <c r="J114" s="1431"/>
      <c r="K114" s="1433"/>
      <c r="L114" s="1837"/>
      <c r="M114" s="1433"/>
      <c r="N114" s="1436"/>
      <c r="O114" s="1436" t="s">
        <v>1802</v>
      </c>
      <c r="P114" s="1437">
        <f>G114*I114</f>
        <v>3000000</v>
      </c>
      <c r="Q114" s="1438"/>
      <c r="R114" s="1438"/>
      <c r="S114" s="1439"/>
      <c r="T114" s="1440"/>
    </row>
    <row r="115" spans="1:20" ht="14.1" customHeight="1">
      <c r="A115" s="778"/>
      <c r="B115" s="786"/>
      <c r="C115" s="792"/>
      <c r="D115" s="1010"/>
      <c r="E115" s="3637" t="s">
        <v>185</v>
      </c>
      <c r="F115" s="3638"/>
      <c r="G115" s="3638"/>
      <c r="H115" s="3638"/>
      <c r="I115" s="3638"/>
      <c r="J115" s="3638"/>
      <c r="K115" s="3638"/>
      <c r="L115" s="3638"/>
      <c r="M115" s="3638"/>
      <c r="N115" s="3638"/>
      <c r="O115" s="3638"/>
      <c r="P115" s="3639"/>
      <c r="Q115" s="645">
        <f>P116+P118</f>
        <v>2779000</v>
      </c>
      <c r="R115" s="645">
        <v>16102000</v>
      </c>
      <c r="S115" s="646">
        <f>+Q115-R115</f>
        <v>-13323000</v>
      </c>
      <c r="T115" s="647">
        <f>+S115/R115</f>
        <v>-0.82741274375853935</v>
      </c>
    </row>
    <row r="116" spans="1:20" ht="14.1" customHeight="1">
      <c r="A116" s="778"/>
      <c r="B116" s="786"/>
      <c r="C116" s="792"/>
      <c r="D116" s="1010"/>
      <c r="E116" s="3342"/>
      <c r="F116" s="1827" t="s">
        <v>52</v>
      </c>
      <c r="G116" s="1828"/>
      <c r="H116" s="1829"/>
      <c r="I116" s="1829"/>
      <c r="J116" s="1829"/>
      <c r="K116" s="1829"/>
      <c r="L116" s="1830"/>
      <c r="M116" s="1829"/>
      <c r="N116" s="1831"/>
      <c r="O116" s="1831"/>
      <c r="P116" s="1832">
        <f>SUM(P117)</f>
        <v>1850000</v>
      </c>
      <c r="Q116" s="1833">
        <f>P116</f>
        <v>1850000</v>
      </c>
      <c r="R116" s="1833">
        <v>16102000</v>
      </c>
      <c r="S116" s="1834">
        <f>+Q116-R116</f>
        <v>-14252000</v>
      </c>
      <c r="T116" s="1835">
        <f>+S116/R116</f>
        <v>-0.88510744006955655</v>
      </c>
    </row>
    <row r="117" spans="1:20" ht="14.1" customHeight="1">
      <c r="A117" s="778"/>
      <c r="B117" s="786"/>
      <c r="C117" s="792"/>
      <c r="D117" s="1010"/>
      <c r="E117" s="3342"/>
      <c r="F117" s="1429" t="s">
        <v>53</v>
      </c>
      <c r="G117" s="1893">
        <v>22200000</v>
      </c>
      <c r="H117" s="1517" t="s">
        <v>21</v>
      </c>
      <c r="I117" s="3793" t="s">
        <v>1803</v>
      </c>
      <c r="J117" s="3793"/>
      <c r="K117" s="1518"/>
      <c r="L117" s="1519"/>
      <c r="M117" s="1520"/>
      <c r="N117" s="1521"/>
      <c r="O117" s="1436" t="s">
        <v>1802</v>
      </c>
      <c r="P117" s="1437">
        <f>ROUNDUP(G117/12,-3)</f>
        <v>1850000</v>
      </c>
      <c r="Q117" s="1438"/>
      <c r="R117" s="1438"/>
      <c r="S117" s="1439"/>
      <c r="T117" s="1440"/>
    </row>
    <row r="118" spans="1:20" ht="14.1" customHeight="1">
      <c r="A118" s="778"/>
      <c r="B118" s="786"/>
      <c r="C118" s="792"/>
      <c r="D118" s="1010"/>
      <c r="E118" s="3342"/>
      <c r="F118" s="1827" t="s">
        <v>1821</v>
      </c>
      <c r="G118" s="1828"/>
      <c r="H118" s="1829"/>
      <c r="I118" s="1829"/>
      <c r="J118" s="1829"/>
      <c r="K118" s="1829"/>
      <c r="L118" s="1830"/>
      <c r="M118" s="1829"/>
      <c r="N118" s="1831"/>
      <c r="O118" s="1831"/>
      <c r="P118" s="1832">
        <f>SUM(P119)</f>
        <v>929000</v>
      </c>
      <c r="Q118" s="1833">
        <f>P118</f>
        <v>929000</v>
      </c>
      <c r="R118" s="1833">
        <v>0</v>
      </c>
      <c r="S118" s="1834">
        <f>+Q118-R118</f>
        <v>929000</v>
      </c>
      <c r="T118" s="1835"/>
    </row>
    <row r="119" spans="1:20" ht="14.1" customHeight="1">
      <c r="A119" s="778"/>
      <c r="B119" s="786"/>
      <c r="C119" s="792"/>
      <c r="D119" s="1010"/>
      <c r="E119" s="3343"/>
      <c r="F119" s="1841" t="s">
        <v>2704</v>
      </c>
      <c r="G119" s="1893">
        <v>929000</v>
      </c>
      <c r="H119" s="1431" t="s">
        <v>21</v>
      </c>
      <c r="I119" s="1871">
        <v>1</v>
      </c>
      <c r="J119" s="1894"/>
      <c r="K119" s="1518"/>
      <c r="L119" s="1519"/>
      <c r="M119" s="1520"/>
      <c r="N119" s="1521"/>
      <c r="O119" s="1436" t="s">
        <v>1822</v>
      </c>
      <c r="P119" s="1437">
        <f>G119*I119</f>
        <v>929000</v>
      </c>
      <c r="Q119" s="1438"/>
      <c r="R119" s="1438"/>
      <c r="S119" s="1439"/>
      <c r="T119" s="1440"/>
    </row>
    <row r="120" spans="1:20" ht="14.1" customHeight="1">
      <c r="A120" s="778"/>
      <c r="B120" s="786"/>
      <c r="C120" s="792"/>
      <c r="D120" s="1888" t="s">
        <v>2040</v>
      </c>
      <c r="E120" s="634"/>
      <c r="F120" s="635"/>
      <c r="G120" s="636"/>
      <c r="H120" s="635"/>
      <c r="I120" s="635"/>
      <c r="J120" s="635"/>
      <c r="K120" s="635"/>
      <c r="L120" s="1268"/>
      <c r="M120" s="1268"/>
      <c r="N120" s="1268"/>
      <c r="O120" s="637"/>
      <c r="P120" s="635"/>
      <c r="Q120" s="638">
        <f>Q121+Q131+Q135+Q144+Q150+Q151+Q154+Q159+Q173+Q178+Q187+Q190+Q195+Q199</f>
        <v>153664000</v>
      </c>
      <c r="R120" s="638">
        <f>R121+R131+R135+R144+R150+R151+R154+R159+R173+R178+R187+R190+R195+R199</f>
        <v>167944000</v>
      </c>
      <c r="S120" s="639">
        <f>+Q120-R120</f>
        <v>-14280000</v>
      </c>
      <c r="T120" s="1825">
        <f>+S120/R120</f>
        <v>-8.5028342780926969E-2</v>
      </c>
    </row>
    <row r="121" spans="1:20" ht="14.1" customHeight="1">
      <c r="A121" s="1130"/>
      <c r="B121" s="846"/>
      <c r="C121" s="780"/>
      <c r="D121" s="779"/>
      <c r="E121" s="3637" t="s">
        <v>55</v>
      </c>
      <c r="F121" s="3638"/>
      <c r="G121" s="3638"/>
      <c r="H121" s="3638"/>
      <c r="I121" s="3638"/>
      <c r="J121" s="3638"/>
      <c r="K121" s="3638"/>
      <c r="L121" s="3638"/>
      <c r="M121" s="3638"/>
      <c r="N121" s="3638"/>
      <c r="O121" s="3638"/>
      <c r="P121" s="3639"/>
      <c r="Q121" s="645">
        <f>P122+P128</f>
        <v>13808000</v>
      </c>
      <c r="R121" s="645">
        <v>9829000</v>
      </c>
      <c r="S121" s="646">
        <f>+Q121-R121</f>
        <v>3979000</v>
      </c>
      <c r="T121" s="647">
        <f>+S121/R121</f>
        <v>0.40482246413673822</v>
      </c>
    </row>
    <row r="122" spans="1:20" ht="14.1" customHeight="1">
      <c r="A122" s="778"/>
      <c r="B122" s="786"/>
      <c r="C122" s="792"/>
      <c r="D122" s="1010"/>
      <c r="E122" s="786"/>
      <c r="F122" s="1827" t="s">
        <v>56</v>
      </c>
      <c r="G122" s="1828"/>
      <c r="H122" s="1829"/>
      <c r="I122" s="1829"/>
      <c r="J122" s="1829"/>
      <c r="K122" s="1829"/>
      <c r="L122" s="1830"/>
      <c r="M122" s="1829"/>
      <c r="N122" s="1831"/>
      <c r="O122" s="1831"/>
      <c r="P122" s="1832">
        <f>SUM(P123:P127)</f>
        <v>5688000</v>
      </c>
      <c r="Q122" s="1833">
        <f>P122</f>
        <v>5688000</v>
      </c>
      <c r="R122" s="1833">
        <v>1929000</v>
      </c>
      <c r="S122" s="1834">
        <f>+Q122-R122</f>
        <v>3759000</v>
      </c>
      <c r="T122" s="1835">
        <f>+S122/R122</f>
        <v>1.9486780715396579</v>
      </c>
    </row>
    <row r="123" spans="1:20" ht="14.1" customHeight="1">
      <c r="A123" s="778"/>
      <c r="B123" s="786"/>
      <c r="C123" s="792"/>
      <c r="D123" s="1010"/>
      <c r="E123" s="786"/>
      <c r="F123" s="1841" t="s">
        <v>57</v>
      </c>
      <c r="G123" s="1430">
        <v>32920000</v>
      </c>
      <c r="H123" s="1431" t="s">
        <v>21</v>
      </c>
      <c r="I123" s="3790">
        <v>4.4999999999999998E-2</v>
      </c>
      <c r="J123" s="3790"/>
      <c r="K123" s="1433"/>
      <c r="L123" s="1837"/>
      <c r="M123" s="1433"/>
      <c r="N123" s="1436"/>
      <c r="O123" s="1436" t="s">
        <v>22</v>
      </c>
      <c r="P123" s="1437">
        <f>ROUNDUP(G123*I123,-3)</f>
        <v>1482000</v>
      </c>
      <c r="Q123" s="1438"/>
      <c r="R123" s="1438"/>
      <c r="S123" s="1439"/>
      <c r="T123" s="1440"/>
    </row>
    <row r="124" spans="1:20" ht="14.1" customHeight="1">
      <c r="A124" s="778"/>
      <c r="B124" s="786"/>
      <c r="C124" s="792"/>
      <c r="D124" s="1010"/>
      <c r="E124" s="786"/>
      <c r="F124" s="1838" t="s">
        <v>58</v>
      </c>
      <c r="G124" s="1430">
        <v>32920000</v>
      </c>
      <c r="H124" s="1431" t="s">
        <v>21</v>
      </c>
      <c r="I124" s="3790">
        <v>3.2300000000000002E-2</v>
      </c>
      <c r="J124" s="3790"/>
      <c r="K124" s="1433"/>
      <c r="L124" s="1837"/>
      <c r="M124" s="1433"/>
      <c r="N124" s="1436"/>
      <c r="O124" s="1436" t="s">
        <v>22</v>
      </c>
      <c r="P124" s="1437">
        <f>ROUNDUP(G124*I124,-3)</f>
        <v>1064000</v>
      </c>
      <c r="Q124" s="1438"/>
      <c r="R124" s="1438"/>
      <c r="S124" s="1439"/>
      <c r="T124" s="1440"/>
    </row>
    <row r="125" spans="1:20" ht="14.1" customHeight="1">
      <c r="A125" s="778"/>
      <c r="B125" s="786"/>
      <c r="C125" s="792"/>
      <c r="D125" s="1010"/>
      <c r="E125" s="786"/>
      <c r="F125" s="1838" t="s">
        <v>59</v>
      </c>
      <c r="G125" s="1430">
        <f>P124</f>
        <v>1064000</v>
      </c>
      <c r="H125" s="1431" t="s">
        <v>21</v>
      </c>
      <c r="I125" s="3790">
        <v>7.3800000000000004E-2</v>
      </c>
      <c r="J125" s="3790"/>
      <c r="K125" s="1433"/>
      <c r="L125" s="1837"/>
      <c r="M125" s="1433"/>
      <c r="N125" s="1436"/>
      <c r="O125" s="1436" t="s">
        <v>22</v>
      </c>
      <c r="P125" s="1437">
        <f>ROUNDUP(G125*I125,-3)</f>
        <v>79000</v>
      </c>
      <c r="Q125" s="1438"/>
      <c r="R125" s="1438"/>
      <c r="S125" s="1439"/>
      <c r="T125" s="1440"/>
    </row>
    <row r="126" spans="1:20" ht="14.1" customHeight="1">
      <c r="A126" s="778"/>
      <c r="B126" s="786"/>
      <c r="C126" s="792"/>
      <c r="D126" s="1010"/>
      <c r="E126" s="786"/>
      <c r="F126" s="1838" t="s">
        <v>60</v>
      </c>
      <c r="G126" s="1430">
        <f>G124</f>
        <v>32920000</v>
      </c>
      <c r="H126" s="1431" t="s">
        <v>21</v>
      </c>
      <c r="I126" s="3790">
        <v>8.0000000000000002E-3</v>
      </c>
      <c r="J126" s="3790"/>
      <c r="K126" s="1433"/>
      <c r="L126" s="1837"/>
      <c r="M126" s="1433"/>
      <c r="N126" s="1436"/>
      <c r="O126" s="1436" t="s">
        <v>22</v>
      </c>
      <c r="P126" s="1437">
        <f>ROUNDUP(G126*I126,-3)</f>
        <v>264000</v>
      </c>
      <c r="Q126" s="1438"/>
      <c r="R126" s="1438"/>
      <c r="S126" s="1439"/>
      <c r="T126" s="1440"/>
    </row>
    <row r="127" spans="1:20" ht="14.1" customHeight="1">
      <c r="A127" s="778"/>
      <c r="B127" s="786"/>
      <c r="C127" s="792"/>
      <c r="D127" s="1010"/>
      <c r="E127" s="786"/>
      <c r="F127" s="1838" t="s">
        <v>61</v>
      </c>
      <c r="G127" s="1430">
        <f>G124</f>
        <v>32920000</v>
      </c>
      <c r="H127" s="1431" t="s">
        <v>21</v>
      </c>
      <c r="I127" s="3790">
        <v>8.5000000000000006E-2</v>
      </c>
      <c r="J127" s="3790"/>
      <c r="K127" s="1433"/>
      <c r="L127" s="1837"/>
      <c r="M127" s="1433"/>
      <c r="N127" s="1436"/>
      <c r="O127" s="1436" t="s">
        <v>22</v>
      </c>
      <c r="P127" s="1437">
        <f>ROUNDUP(G127*I127,-3)</f>
        <v>2799000</v>
      </c>
      <c r="Q127" s="1438"/>
      <c r="R127" s="1438"/>
      <c r="S127" s="1439"/>
      <c r="T127" s="1440"/>
    </row>
    <row r="128" spans="1:20" ht="14.1" customHeight="1">
      <c r="A128" s="778"/>
      <c r="B128" s="786"/>
      <c r="C128" s="792"/>
      <c r="D128" s="1010"/>
      <c r="E128" s="786"/>
      <c r="F128" s="1827" t="s">
        <v>750</v>
      </c>
      <c r="G128" s="1828"/>
      <c r="H128" s="1829"/>
      <c r="I128" s="1829"/>
      <c r="J128" s="1829"/>
      <c r="K128" s="1829"/>
      <c r="L128" s="1830"/>
      <c r="M128" s="1829"/>
      <c r="N128" s="1831"/>
      <c r="O128" s="1831"/>
      <c r="P128" s="1832">
        <f>SUM(P129:P130)</f>
        <v>8120000</v>
      </c>
      <c r="Q128" s="1833">
        <f>P128</f>
        <v>8120000</v>
      </c>
      <c r="R128" s="1833">
        <v>7900000</v>
      </c>
      <c r="S128" s="1834">
        <f>+Q128-R128</f>
        <v>220000</v>
      </c>
      <c r="T128" s="1835">
        <f>+S128/R128</f>
        <v>2.7848101265822784E-2</v>
      </c>
    </row>
    <row r="129" spans="1:26" ht="14.1" customHeight="1">
      <c r="A129" s="778"/>
      <c r="B129" s="786"/>
      <c r="C129" s="792"/>
      <c r="D129" s="1010"/>
      <c r="E129" s="786"/>
      <c r="F129" s="1841" t="s">
        <v>751</v>
      </c>
      <c r="G129" s="1430">
        <v>153846</v>
      </c>
      <c r="H129" s="1431" t="s">
        <v>21</v>
      </c>
      <c r="I129" s="1418">
        <v>13</v>
      </c>
      <c r="J129" s="1431"/>
      <c r="K129" s="1433"/>
      <c r="L129" s="1837"/>
      <c r="M129" s="1433"/>
      <c r="N129" s="1436"/>
      <c r="O129" s="1436" t="s">
        <v>22</v>
      </c>
      <c r="P129" s="1437">
        <f>ROUNDUP(G129*I129,-3)</f>
        <v>2000000</v>
      </c>
      <c r="Q129" s="1438"/>
      <c r="R129" s="1438"/>
      <c r="S129" s="1439"/>
      <c r="T129" s="1440"/>
    </row>
    <row r="130" spans="1:26" ht="14.1" customHeight="1">
      <c r="A130" s="778"/>
      <c r="B130" s="786"/>
      <c r="C130" s="792"/>
      <c r="D130" s="1010"/>
      <c r="E130" s="786"/>
      <c r="F130" s="1895" t="s">
        <v>317</v>
      </c>
      <c r="G130" s="1430">
        <v>4250</v>
      </c>
      <c r="H130" s="1431" t="s">
        <v>21</v>
      </c>
      <c r="I130" s="1896">
        <v>20</v>
      </c>
      <c r="J130" s="1431" t="s">
        <v>21</v>
      </c>
      <c r="K130" s="1897">
        <v>6</v>
      </c>
      <c r="L130" s="1431" t="s">
        <v>21</v>
      </c>
      <c r="M130" s="1898">
        <v>12</v>
      </c>
      <c r="N130" s="1436"/>
      <c r="O130" s="1436" t="s">
        <v>22</v>
      </c>
      <c r="P130" s="1437">
        <f>ROUNDUP(G130*I130*K130*M130,-3)</f>
        <v>6120000</v>
      </c>
      <c r="Q130" s="1438"/>
      <c r="R130" s="1438"/>
      <c r="S130" s="1439"/>
      <c r="T130" s="1440"/>
      <c r="V130" s="128">
        <v>20</v>
      </c>
      <c r="X130" s="128">
        <v>6</v>
      </c>
      <c r="Z130" s="1160">
        <f>P130/K130/X130/V130</f>
        <v>8500</v>
      </c>
    </row>
    <row r="131" spans="1:26" ht="14.1" customHeight="1">
      <c r="A131" s="778"/>
      <c r="B131" s="786"/>
      <c r="C131" s="792"/>
      <c r="D131" s="1010"/>
      <c r="E131" s="3637" t="s">
        <v>3132</v>
      </c>
      <c r="F131" s="3638"/>
      <c r="G131" s="3638"/>
      <c r="H131" s="3638"/>
      <c r="I131" s="3638"/>
      <c r="J131" s="3638"/>
      <c r="K131" s="3638"/>
      <c r="L131" s="3638"/>
      <c r="M131" s="3638"/>
      <c r="N131" s="3638"/>
      <c r="O131" s="3638"/>
      <c r="P131" s="3639"/>
      <c r="Q131" s="645">
        <f>ROUNDUP(P132,-3)</f>
        <v>16320000</v>
      </c>
      <c r="R131" s="645">
        <v>16000000</v>
      </c>
      <c r="S131" s="646">
        <f>+Q131-R131</f>
        <v>320000</v>
      </c>
      <c r="T131" s="647">
        <f>+S131/R131</f>
        <v>0.02</v>
      </c>
    </row>
    <row r="132" spans="1:26" ht="14.1" customHeight="1">
      <c r="A132" s="778"/>
      <c r="B132" s="786"/>
      <c r="C132" s="792"/>
      <c r="D132" s="1010"/>
      <c r="E132" s="786"/>
      <c r="F132" s="1827" t="s">
        <v>66</v>
      </c>
      <c r="G132" s="1828"/>
      <c r="H132" s="1829"/>
      <c r="I132" s="1829"/>
      <c r="J132" s="1829"/>
      <c r="K132" s="1829"/>
      <c r="L132" s="1830"/>
      <c r="M132" s="1829"/>
      <c r="N132" s="1831"/>
      <c r="O132" s="1831"/>
      <c r="P132" s="1832">
        <f>SUM(P133:P134)</f>
        <v>16320000</v>
      </c>
      <c r="Q132" s="1833">
        <f>P132</f>
        <v>16320000</v>
      </c>
      <c r="R132" s="1833">
        <v>16000000</v>
      </c>
      <c r="S132" s="1834">
        <f>+Q132-R132</f>
        <v>320000</v>
      </c>
      <c r="T132" s="1835">
        <f>+S132/R132</f>
        <v>0.02</v>
      </c>
    </row>
    <row r="133" spans="1:26" ht="14.1" customHeight="1">
      <c r="A133" s="778"/>
      <c r="B133" s="786"/>
      <c r="C133" s="792"/>
      <c r="D133" s="1010"/>
      <c r="E133" s="786"/>
      <c r="F133" s="1841" t="s">
        <v>67</v>
      </c>
      <c r="G133" s="1430">
        <v>102000</v>
      </c>
      <c r="H133" s="1431" t="s">
        <v>21</v>
      </c>
      <c r="I133" s="1432">
        <v>6</v>
      </c>
      <c r="J133" s="1431" t="s">
        <v>21</v>
      </c>
      <c r="K133" s="1899">
        <v>20</v>
      </c>
      <c r="L133" s="1837"/>
      <c r="M133" s="1433"/>
      <c r="N133" s="1436"/>
      <c r="O133" s="1436" t="s">
        <v>22</v>
      </c>
      <c r="P133" s="1437">
        <f>G133*I133*K133</f>
        <v>12240000</v>
      </c>
      <c r="Q133" s="1438"/>
      <c r="R133" s="1438"/>
      <c r="S133" s="1439"/>
      <c r="T133" s="1440"/>
    </row>
    <row r="134" spans="1:26" ht="14.1" customHeight="1">
      <c r="A134" s="778"/>
      <c r="B134" s="786"/>
      <c r="C134" s="792"/>
      <c r="D134" s="786"/>
      <c r="E134" s="786"/>
      <c r="F134" s="1838" t="s">
        <v>1224</v>
      </c>
      <c r="G134" s="1850">
        <v>1020000</v>
      </c>
      <c r="H134" s="1431" t="s">
        <v>21</v>
      </c>
      <c r="I134" s="1432">
        <v>2</v>
      </c>
      <c r="J134" s="1431" t="s">
        <v>21</v>
      </c>
      <c r="K134" s="1899">
        <v>2</v>
      </c>
      <c r="L134" s="1837"/>
      <c r="M134" s="1433"/>
      <c r="N134" s="1436"/>
      <c r="O134" s="1436" t="s">
        <v>22</v>
      </c>
      <c r="P134" s="1437">
        <f>G134*I134*K134</f>
        <v>4080000</v>
      </c>
      <c r="Q134" s="1438"/>
      <c r="R134" s="1438"/>
      <c r="S134" s="1439"/>
      <c r="T134" s="1440"/>
    </row>
    <row r="135" spans="1:26" ht="14.1" customHeight="1">
      <c r="A135" s="778"/>
      <c r="B135" s="786"/>
      <c r="C135" s="792"/>
      <c r="D135" s="1010"/>
      <c r="E135" s="3637" t="s">
        <v>188</v>
      </c>
      <c r="F135" s="3638"/>
      <c r="G135" s="3638"/>
      <c r="H135" s="3638"/>
      <c r="I135" s="3638"/>
      <c r="J135" s="3638"/>
      <c r="K135" s="3638"/>
      <c r="L135" s="3638"/>
      <c r="M135" s="3638"/>
      <c r="N135" s="3638"/>
      <c r="O135" s="3638"/>
      <c r="P135" s="3639"/>
      <c r="Q135" s="645">
        <f>P136</f>
        <v>8100000</v>
      </c>
      <c r="R135" s="645">
        <v>8205000</v>
      </c>
      <c r="S135" s="646">
        <f>+Q135-R135</f>
        <v>-105000</v>
      </c>
      <c r="T135" s="647">
        <f>+S135/R135</f>
        <v>-1.2797074954296161E-2</v>
      </c>
    </row>
    <row r="136" spans="1:26" ht="14.1" customHeight="1">
      <c r="A136" s="778"/>
      <c r="B136" s="786"/>
      <c r="C136" s="792"/>
      <c r="D136" s="1010"/>
      <c r="E136" s="844"/>
      <c r="F136" s="1827" t="s">
        <v>1823</v>
      </c>
      <c r="G136" s="1828"/>
      <c r="H136" s="1829"/>
      <c r="I136" s="1829"/>
      <c r="J136" s="1829"/>
      <c r="K136" s="1829"/>
      <c r="L136" s="1830"/>
      <c r="M136" s="1829"/>
      <c r="N136" s="1831"/>
      <c r="O136" s="1831"/>
      <c r="P136" s="1832">
        <f>SUM(P137:P143)</f>
        <v>8100000</v>
      </c>
      <c r="Q136" s="1833">
        <f>P136</f>
        <v>8100000</v>
      </c>
      <c r="R136" s="1833">
        <v>8205000</v>
      </c>
      <c r="S136" s="1834">
        <f>+Q136-R136</f>
        <v>-105000</v>
      </c>
      <c r="T136" s="1835">
        <f>+S136/R136</f>
        <v>-1.2797074954296161E-2</v>
      </c>
    </row>
    <row r="137" spans="1:26" ht="14.1" customHeight="1">
      <c r="A137" s="778"/>
      <c r="B137" s="786"/>
      <c r="C137" s="792"/>
      <c r="D137" s="1010"/>
      <c r="E137" s="786"/>
      <c r="F137" s="1895" t="s">
        <v>1824</v>
      </c>
      <c r="G137" s="1900">
        <v>500000</v>
      </c>
      <c r="H137" s="1901" t="s">
        <v>21</v>
      </c>
      <c r="I137" s="1899">
        <v>1</v>
      </c>
      <c r="J137" s="1431"/>
      <c r="K137" s="1433"/>
      <c r="L137" s="1837"/>
      <c r="M137" s="1433"/>
      <c r="N137" s="1436"/>
      <c r="O137" s="1436" t="s">
        <v>22</v>
      </c>
      <c r="P137" s="1437">
        <f t="shared" ref="P137:P143" si="5">ROUNDUP(G137*I137,-3)</f>
        <v>500000</v>
      </c>
      <c r="Q137" s="1438"/>
      <c r="R137" s="1438"/>
      <c r="S137" s="1439"/>
      <c r="T137" s="1440"/>
    </row>
    <row r="138" spans="1:26" ht="14.1" customHeight="1">
      <c r="A138" s="778"/>
      <c r="B138" s="786"/>
      <c r="C138" s="792"/>
      <c r="D138" s="1010"/>
      <c r="E138" s="786"/>
      <c r="F138" s="1895" t="s">
        <v>738</v>
      </c>
      <c r="G138" s="1900">
        <v>3000000</v>
      </c>
      <c r="H138" s="1901" t="s">
        <v>21</v>
      </c>
      <c r="I138" s="1899">
        <v>1</v>
      </c>
      <c r="J138" s="1431"/>
      <c r="K138" s="1433"/>
      <c r="L138" s="1837"/>
      <c r="M138" s="1433"/>
      <c r="N138" s="1436"/>
      <c r="O138" s="1436" t="s">
        <v>22</v>
      </c>
      <c r="P138" s="1437">
        <f t="shared" si="5"/>
        <v>3000000</v>
      </c>
      <c r="Q138" s="1438"/>
      <c r="R138" s="1438"/>
      <c r="S138" s="1439"/>
      <c r="T138" s="1440"/>
    </row>
    <row r="139" spans="1:26" ht="14.1" customHeight="1">
      <c r="A139" s="778"/>
      <c r="B139" s="786"/>
      <c r="C139" s="792"/>
      <c r="D139" s="1010"/>
      <c r="E139" s="786"/>
      <c r="F139" s="1895" t="s">
        <v>1825</v>
      </c>
      <c r="G139" s="1900">
        <v>1300000</v>
      </c>
      <c r="H139" s="1901" t="s">
        <v>21</v>
      </c>
      <c r="I139" s="1899">
        <v>1</v>
      </c>
      <c r="J139" s="1431"/>
      <c r="K139" s="1433"/>
      <c r="L139" s="1837"/>
      <c r="M139" s="1433"/>
      <c r="N139" s="1436"/>
      <c r="O139" s="1436" t="s">
        <v>22</v>
      </c>
      <c r="P139" s="1437">
        <f t="shared" si="5"/>
        <v>1300000</v>
      </c>
      <c r="Q139" s="1438"/>
      <c r="R139" s="1438"/>
      <c r="S139" s="1439"/>
      <c r="T139" s="1440"/>
    </row>
    <row r="140" spans="1:26" ht="14.1" customHeight="1">
      <c r="A140" s="778"/>
      <c r="B140" s="786"/>
      <c r="C140" s="792"/>
      <c r="D140" s="1010"/>
      <c r="E140" s="786"/>
      <c r="F140" s="1902" t="s">
        <v>1826</v>
      </c>
      <c r="G140" s="1903">
        <v>1000000</v>
      </c>
      <c r="H140" s="1901" t="s">
        <v>21</v>
      </c>
      <c r="I140" s="1899">
        <v>1</v>
      </c>
      <c r="J140" s="1431"/>
      <c r="K140" s="1433"/>
      <c r="L140" s="1837"/>
      <c r="M140" s="1433"/>
      <c r="N140" s="1436"/>
      <c r="O140" s="1436" t="s">
        <v>22</v>
      </c>
      <c r="P140" s="1437">
        <f t="shared" si="5"/>
        <v>1000000</v>
      </c>
      <c r="Q140" s="1438"/>
      <c r="R140" s="1438"/>
      <c r="S140" s="1439"/>
      <c r="T140" s="1440"/>
    </row>
    <row r="141" spans="1:26" ht="14.1" customHeight="1">
      <c r="A141" s="778"/>
      <c r="B141" s="786"/>
      <c r="C141" s="792"/>
      <c r="D141" s="1010"/>
      <c r="E141" s="786"/>
      <c r="F141" s="1902" t="s">
        <v>1226</v>
      </c>
      <c r="G141" s="1903">
        <v>200000</v>
      </c>
      <c r="H141" s="1901" t="s">
        <v>21</v>
      </c>
      <c r="I141" s="1899">
        <v>4</v>
      </c>
      <c r="J141" s="1431"/>
      <c r="K141" s="1433"/>
      <c r="L141" s="1837"/>
      <c r="M141" s="1433"/>
      <c r="N141" s="1436"/>
      <c r="O141" s="1436" t="s">
        <v>22</v>
      </c>
      <c r="P141" s="1437">
        <f t="shared" si="5"/>
        <v>800000</v>
      </c>
      <c r="Q141" s="1438"/>
      <c r="R141" s="1438"/>
      <c r="S141" s="1439"/>
      <c r="T141" s="1440"/>
    </row>
    <row r="142" spans="1:26" ht="14.1" customHeight="1">
      <c r="A142" s="778"/>
      <c r="B142" s="786"/>
      <c r="C142" s="792"/>
      <c r="D142" s="1010"/>
      <c r="E142" s="786"/>
      <c r="F142" s="1902" t="s">
        <v>1827</v>
      </c>
      <c r="G142" s="1903">
        <v>250000</v>
      </c>
      <c r="H142" s="1901" t="s">
        <v>21</v>
      </c>
      <c r="I142" s="1899">
        <v>2</v>
      </c>
      <c r="J142" s="1431"/>
      <c r="K142" s="1433"/>
      <c r="L142" s="1837"/>
      <c r="M142" s="1433"/>
      <c r="N142" s="1436"/>
      <c r="O142" s="1436" t="s">
        <v>22</v>
      </c>
      <c r="P142" s="1437">
        <f t="shared" si="5"/>
        <v>500000</v>
      </c>
      <c r="Q142" s="1438"/>
      <c r="R142" s="1438"/>
      <c r="S142" s="1439"/>
      <c r="T142" s="1440"/>
    </row>
    <row r="143" spans="1:26" ht="14.1" customHeight="1">
      <c r="A143" s="778"/>
      <c r="B143" s="786"/>
      <c r="C143" s="792"/>
      <c r="D143" s="1010"/>
      <c r="E143" s="846"/>
      <c r="F143" s="1904" t="s">
        <v>1828</v>
      </c>
      <c r="G143" s="1905">
        <v>1000000</v>
      </c>
      <c r="H143" s="1906" t="s">
        <v>21</v>
      </c>
      <c r="I143" s="1907">
        <v>1</v>
      </c>
      <c r="J143" s="1908"/>
      <c r="K143" s="1909"/>
      <c r="L143" s="1910"/>
      <c r="M143" s="1909"/>
      <c r="N143" s="1911"/>
      <c r="O143" s="1911" t="s">
        <v>22</v>
      </c>
      <c r="P143" s="1912">
        <f t="shared" si="5"/>
        <v>1000000</v>
      </c>
      <c r="Q143" s="1913"/>
      <c r="R143" s="1913"/>
      <c r="S143" s="1914"/>
      <c r="T143" s="1915"/>
    </row>
    <row r="144" spans="1:26" ht="14.45" customHeight="1">
      <c r="A144" s="778"/>
      <c r="B144" s="786"/>
      <c r="C144" s="792"/>
      <c r="D144" s="1010"/>
      <c r="E144" s="3637" t="s">
        <v>76</v>
      </c>
      <c r="F144" s="3638"/>
      <c r="G144" s="3638"/>
      <c r="H144" s="3638"/>
      <c r="I144" s="3638"/>
      <c r="J144" s="3638"/>
      <c r="K144" s="3638"/>
      <c r="L144" s="3638"/>
      <c r="M144" s="3638"/>
      <c r="N144" s="3638"/>
      <c r="O144" s="3638"/>
      <c r="P144" s="3639"/>
      <c r="Q144" s="1049">
        <f>ROUNDUP(P145,-3)</f>
        <v>14688000</v>
      </c>
      <c r="R144" s="1049">
        <v>14400000</v>
      </c>
      <c r="S144" s="1050">
        <f>+Q144-R144</f>
        <v>288000</v>
      </c>
      <c r="T144" s="1051">
        <f>+S144/R144</f>
        <v>0.02</v>
      </c>
    </row>
    <row r="145" spans="1:20" ht="14.45" customHeight="1">
      <c r="A145" s="778"/>
      <c r="B145" s="786"/>
      <c r="C145" s="792"/>
      <c r="D145" s="1010"/>
      <c r="E145" s="786"/>
      <c r="F145" s="1827" t="s">
        <v>1829</v>
      </c>
      <c r="G145" s="1828"/>
      <c r="H145" s="1829"/>
      <c r="I145" s="1829"/>
      <c r="J145" s="1829"/>
      <c r="K145" s="1829"/>
      <c r="L145" s="1830"/>
      <c r="M145" s="1829"/>
      <c r="N145" s="1831"/>
      <c r="O145" s="1831"/>
      <c r="P145" s="1832">
        <f>SUM(P146:P149)</f>
        <v>14688000</v>
      </c>
      <c r="Q145" s="1833">
        <f>P145</f>
        <v>14688000</v>
      </c>
      <c r="R145" s="1833">
        <v>14400000</v>
      </c>
      <c r="S145" s="1834">
        <f>+Q145-R145</f>
        <v>288000</v>
      </c>
      <c r="T145" s="1835">
        <f>+S145/R145</f>
        <v>0.02</v>
      </c>
    </row>
    <row r="146" spans="1:20" ht="14.45" customHeight="1">
      <c r="A146" s="778"/>
      <c r="B146" s="786"/>
      <c r="C146" s="792"/>
      <c r="D146" s="1010"/>
      <c r="E146" s="786"/>
      <c r="F146" s="1517" t="s">
        <v>1830</v>
      </c>
      <c r="G146" s="1430">
        <v>204000</v>
      </c>
      <c r="H146" s="1431" t="s">
        <v>21</v>
      </c>
      <c r="I146" s="1433">
        <v>12</v>
      </c>
      <c r="J146" s="1431"/>
      <c r="K146" s="1433"/>
      <c r="L146" s="1837"/>
      <c r="M146" s="1433"/>
      <c r="N146" s="1436"/>
      <c r="O146" s="1436" t="s">
        <v>22</v>
      </c>
      <c r="P146" s="1437">
        <f>ROUNDUP(G146*I146,-3)</f>
        <v>2448000</v>
      </c>
      <c r="Q146" s="1438"/>
      <c r="R146" s="1438"/>
      <c r="S146" s="1439"/>
      <c r="T146" s="1440"/>
    </row>
    <row r="147" spans="1:20" ht="14.45" customHeight="1">
      <c r="A147" s="778"/>
      <c r="B147" s="786"/>
      <c r="C147" s="792"/>
      <c r="D147" s="1010"/>
      <c r="E147" s="786"/>
      <c r="F147" s="1517" t="s">
        <v>1831</v>
      </c>
      <c r="G147" s="1850">
        <v>306000</v>
      </c>
      <c r="H147" s="1431" t="s">
        <v>21</v>
      </c>
      <c r="I147" s="1433">
        <v>12</v>
      </c>
      <c r="J147" s="1431"/>
      <c r="K147" s="1431"/>
      <c r="L147" s="1434"/>
      <c r="M147" s="1431"/>
      <c r="N147" s="1436"/>
      <c r="O147" s="1436" t="s">
        <v>22</v>
      </c>
      <c r="P147" s="1437">
        <f>ROUNDUP(G147*I147,-3)</f>
        <v>3672000</v>
      </c>
      <c r="Q147" s="1438"/>
      <c r="R147" s="1438"/>
      <c r="S147" s="1439"/>
      <c r="T147" s="1440"/>
    </row>
    <row r="148" spans="1:20" ht="14.45" customHeight="1">
      <c r="A148" s="778"/>
      <c r="B148" s="786"/>
      <c r="C148" s="792"/>
      <c r="D148" s="1010"/>
      <c r="E148" s="786"/>
      <c r="F148" s="1517" t="s">
        <v>1832</v>
      </c>
      <c r="G148" s="1430">
        <v>408000</v>
      </c>
      <c r="H148" s="1431" t="s">
        <v>21</v>
      </c>
      <c r="I148" s="1433">
        <v>12</v>
      </c>
      <c r="J148" s="1431"/>
      <c r="K148" s="1433"/>
      <c r="L148" s="1837"/>
      <c r="M148" s="1433"/>
      <c r="N148" s="1436"/>
      <c r="O148" s="1436" t="s">
        <v>22</v>
      </c>
      <c r="P148" s="1437">
        <f>ROUNDUP(G148*I148,-3)</f>
        <v>4896000</v>
      </c>
      <c r="Q148" s="1438"/>
      <c r="R148" s="1438"/>
      <c r="S148" s="1439"/>
      <c r="T148" s="1440"/>
    </row>
    <row r="149" spans="1:20" ht="14.45" customHeight="1">
      <c r="A149" s="778"/>
      <c r="B149" s="786"/>
      <c r="C149" s="792"/>
      <c r="D149" s="1010"/>
      <c r="E149" s="786"/>
      <c r="F149" s="1517" t="s">
        <v>1833</v>
      </c>
      <c r="G149" s="1430">
        <v>306000</v>
      </c>
      <c r="H149" s="1431" t="s">
        <v>21</v>
      </c>
      <c r="I149" s="1433">
        <v>12</v>
      </c>
      <c r="J149" s="1431"/>
      <c r="K149" s="1433"/>
      <c r="L149" s="1837"/>
      <c r="M149" s="1433"/>
      <c r="N149" s="1436"/>
      <c r="O149" s="1436" t="s">
        <v>22</v>
      </c>
      <c r="P149" s="1437">
        <f>ROUNDUP(G149*I149,-3)</f>
        <v>3672000</v>
      </c>
      <c r="Q149" s="1438"/>
      <c r="R149" s="1438"/>
      <c r="S149" s="1439"/>
      <c r="T149" s="1440"/>
    </row>
    <row r="150" spans="1:20" ht="14.45" customHeight="1">
      <c r="A150" s="778"/>
      <c r="B150" s="786"/>
      <c r="C150" s="792"/>
      <c r="D150" s="1010"/>
      <c r="E150" s="3637" t="s">
        <v>218</v>
      </c>
      <c r="F150" s="3638"/>
      <c r="G150" s="3638"/>
      <c r="H150" s="3638"/>
      <c r="I150" s="3638"/>
      <c r="J150" s="3638"/>
      <c r="K150" s="3638"/>
      <c r="L150" s="3638"/>
      <c r="M150" s="3638"/>
      <c r="N150" s="3638"/>
      <c r="O150" s="3638"/>
      <c r="P150" s="3639"/>
      <c r="Q150" s="645">
        <v>0</v>
      </c>
      <c r="R150" s="645">
        <v>4400000</v>
      </c>
      <c r="S150" s="646">
        <f>+Q150-R150</f>
        <v>-4400000</v>
      </c>
      <c r="T150" s="647">
        <f>+S150/R150</f>
        <v>-1</v>
      </c>
    </row>
    <row r="151" spans="1:20" ht="14.45" customHeight="1">
      <c r="A151" s="778"/>
      <c r="B151" s="786"/>
      <c r="C151" s="792"/>
      <c r="D151" s="1010"/>
      <c r="E151" s="3637" t="s">
        <v>3034</v>
      </c>
      <c r="F151" s="3638"/>
      <c r="G151" s="3638"/>
      <c r="H151" s="3638"/>
      <c r="I151" s="3638"/>
      <c r="J151" s="3638"/>
      <c r="K151" s="3638"/>
      <c r="L151" s="3638"/>
      <c r="M151" s="3638"/>
      <c r="N151" s="3638"/>
      <c r="O151" s="3638"/>
      <c r="P151" s="3639"/>
      <c r="Q151" s="645">
        <f>ROUNDUP(P152,-3)</f>
        <v>6120000</v>
      </c>
      <c r="R151" s="645">
        <v>6000000</v>
      </c>
      <c r="S151" s="646">
        <f>+Q151-R151</f>
        <v>120000</v>
      </c>
      <c r="T151" s="647">
        <f>+S151/R151</f>
        <v>0.02</v>
      </c>
    </row>
    <row r="152" spans="1:20" ht="14.45" customHeight="1">
      <c r="A152" s="778"/>
      <c r="B152" s="786"/>
      <c r="C152" s="792"/>
      <c r="D152" s="1010"/>
      <c r="E152" s="786"/>
      <c r="F152" s="1827" t="s">
        <v>88</v>
      </c>
      <c r="G152" s="1828"/>
      <c r="H152" s="1829"/>
      <c r="I152" s="1829"/>
      <c r="J152" s="1829"/>
      <c r="K152" s="1829"/>
      <c r="L152" s="1830"/>
      <c r="M152" s="1829"/>
      <c r="N152" s="1831"/>
      <c r="O152" s="1831"/>
      <c r="P152" s="1832">
        <f>SUM(P153:P154)</f>
        <v>6120000</v>
      </c>
      <c r="Q152" s="1833">
        <f>P152</f>
        <v>6120000</v>
      </c>
      <c r="R152" s="1833">
        <v>6000000</v>
      </c>
      <c r="S152" s="1834">
        <f>+Q152-R152</f>
        <v>120000</v>
      </c>
      <c r="T152" s="1835">
        <f>+S152/R152</f>
        <v>0.02</v>
      </c>
    </row>
    <row r="153" spans="1:20" ht="14.45" customHeight="1">
      <c r="A153" s="778"/>
      <c r="B153" s="786"/>
      <c r="C153" s="792"/>
      <c r="D153" s="786"/>
      <c r="E153" s="846"/>
      <c r="F153" s="1856" t="s">
        <v>1834</v>
      </c>
      <c r="G153" s="1916">
        <v>510000</v>
      </c>
      <c r="H153" s="1908" t="s">
        <v>21</v>
      </c>
      <c r="I153" s="1907">
        <v>12</v>
      </c>
      <c r="J153" s="1908"/>
      <c r="K153" s="1909"/>
      <c r="L153" s="1910"/>
      <c r="M153" s="1909"/>
      <c r="N153" s="1911"/>
      <c r="O153" s="1911" t="s">
        <v>22</v>
      </c>
      <c r="P153" s="1912">
        <f>ROUNDUP(G153*I153,-3)</f>
        <v>6120000</v>
      </c>
      <c r="Q153" s="1913"/>
      <c r="R153" s="1913"/>
      <c r="S153" s="1914"/>
      <c r="T153" s="1915"/>
    </row>
    <row r="154" spans="1:20" ht="14.45" customHeight="1">
      <c r="A154" s="778"/>
      <c r="B154" s="786"/>
      <c r="C154" s="792"/>
      <c r="D154" s="1010"/>
      <c r="E154" s="3637" t="s">
        <v>3005</v>
      </c>
      <c r="F154" s="3638"/>
      <c r="G154" s="3638"/>
      <c r="H154" s="3638"/>
      <c r="I154" s="3638"/>
      <c r="J154" s="3638"/>
      <c r="K154" s="3638"/>
      <c r="L154" s="3638"/>
      <c r="M154" s="3638"/>
      <c r="N154" s="3638"/>
      <c r="O154" s="3638"/>
      <c r="P154" s="3639"/>
      <c r="Q154" s="1049">
        <f>ROUNDUP(P155,-3)</f>
        <v>7956000</v>
      </c>
      <c r="R154" s="1049">
        <v>25800000</v>
      </c>
      <c r="S154" s="1050">
        <f>+Q154-R154</f>
        <v>-17844000</v>
      </c>
      <c r="T154" s="1051">
        <f>+S154/R154</f>
        <v>-0.69162790697674414</v>
      </c>
    </row>
    <row r="155" spans="1:20" ht="14.45" customHeight="1">
      <c r="A155" s="778"/>
      <c r="B155" s="786"/>
      <c r="C155" s="792"/>
      <c r="D155" s="1010"/>
      <c r="E155" s="786"/>
      <c r="F155" s="1827" t="s">
        <v>93</v>
      </c>
      <c r="G155" s="1828"/>
      <c r="H155" s="1829"/>
      <c r="I155" s="1829"/>
      <c r="J155" s="1829"/>
      <c r="K155" s="1829"/>
      <c r="L155" s="1830"/>
      <c r="M155" s="1829"/>
      <c r="N155" s="1831"/>
      <c r="O155" s="1831"/>
      <c r="P155" s="1832">
        <f>SUM(P156:P158)</f>
        <v>7956000</v>
      </c>
      <c r="Q155" s="1833">
        <f>P155</f>
        <v>7956000</v>
      </c>
      <c r="R155" s="1833">
        <v>25800000</v>
      </c>
      <c r="S155" s="1834">
        <f>+Q155-R155</f>
        <v>-17844000</v>
      </c>
      <c r="T155" s="1835">
        <f>+S155/R155</f>
        <v>-0.69162790697674414</v>
      </c>
    </row>
    <row r="156" spans="1:20" ht="14.45" customHeight="1">
      <c r="A156" s="778"/>
      <c r="B156" s="786"/>
      <c r="C156" s="792"/>
      <c r="D156" s="1010"/>
      <c r="E156" s="786"/>
      <c r="F156" s="1895" t="s">
        <v>1835</v>
      </c>
      <c r="G156" s="1900">
        <v>153000</v>
      </c>
      <c r="H156" s="1901" t="s">
        <v>21</v>
      </c>
      <c r="I156" s="1917">
        <v>12</v>
      </c>
      <c r="J156" s="1901"/>
      <c r="K156" s="1917"/>
      <c r="L156" s="1918"/>
      <c r="M156" s="1919"/>
      <c r="N156" s="1436"/>
      <c r="O156" s="1436" t="s">
        <v>22</v>
      </c>
      <c r="P156" s="1437">
        <f>ROUNDUP(G156*I156,-3)</f>
        <v>1836000</v>
      </c>
      <c r="Q156" s="1438"/>
      <c r="R156" s="1438"/>
      <c r="S156" s="1439"/>
      <c r="T156" s="1440"/>
    </row>
    <row r="157" spans="1:20" ht="14.45" customHeight="1">
      <c r="A157" s="778"/>
      <c r="B157" s="786"/>
      <c r="C157" s="792"/>
      <c r="D157" s="1010"/>
      <c r="E157" s="786"/>
      <c r="F157" s="1895" t="s">
        <v>1836</v>
      </c>
      <c r="G157" s="1900">
        <v>153000</v>
      </c>
      <c r="H157" s="1901" t="s">
        <v>21</v>
      </c>
      <c r="I157" s="1917">
        <v>12</v>
      </c>
      <c r="J157" s="1901"/>
      <c r="K157" s="1917"/>
      <c r="L157" s="1918"/>
      <c r="M157" s="1919"/>
      <c r="N157" s="1436"/>
      <c r="O157" s="1436" t="s">
        <v>22</v>
      </c>
      <c r="P157" s="1437">
        <f>ROUNDUP(G157*I157,-3)</f>
        <v>1836000</v>
      </c>
      <c r="Q157" s="1438"/>
      <c r="R157" s="1438"/>
      <c r="S157" s="1439"/>
      <c r="T157" s="1440"/>
    </row>
    <row r="158" spans="1:20" ht="14.45" customHeight="1">
      <c r="A158" s="778"/>
      <c r="B158" s="786"/>
      <c r="C158" s="792"/>
      <c r="D158" s="1010"/>
      <c r="E158" s="786"/>
      <c r="F158" s="1895" t="s">
        <v>1837</v>
      </c>
      <c r="G158" s="1900">
        <v>357000</v>
      </c>
      <c r="H158" s="1901" t="s">
        <v>21</v>
      </c>
      <c r="I158" s="1917">
        <v>12</v>
      </c>
      <c r="J158" s="1901"/>
      <c r="K158" s="1917"/>
      <c r="L158" s="1918"/>
      <c r="M158" s="1919"/>
      <c r="N158" s="1436"/>
      <c r="O158" s="1436" t="s">
        <v>22</v>
      </c>
      <c r="P158" s="1437">
        <f>ROUNDUP(G158*I158,-3)</f>
        <v>4284000</v>
      </c>
      <c r="Q158" s="1438"/>
      <c r="R158" s="1438"/>
      <c r="S158" s="1439"/>
      <c r="T158" s="1440"/>
    </row>
    <row r="159" spans="1:20" ht="14.45" customHeight="1">
      <c r="A159" s="778"/>
      <c r="B159" s="786"/>
      <c r="C159" s="792"/>
      <c r="D159" s="1010"/>
      <c r="E159" s="3637" t="s">
        <v>194</v>
      </c>
      <c r="F159" s="3638"/>
      <c r="G159" s="3638"/>
      <c r="H159" s="3638"/>
      <c r="I159" s="3638"/>
      <c r="J159" s="3638"/>
      <c r="K159" s="3638"/>
      <c r="L159" s="3638"/>
      <c r="M159" s="3638"/>
      <c r="N159" s="3638"/>
      <c r="O159" s="3638"/>
      <c r="P159" s="3639"/>
      <c r="Q159" s="645">
        <f>ROUNDUP(P160,-3)</f>
        <v>33702000</v>
      </c>
      <c r="R159" s="645">
        <v>33394000</v>
      </c>
      <c r="S159" s="646">
        <f>+Q159-R159</f>
        <v>308000</v>
      </c>
      <c r="T159" s="647">
        <f>+S159/R159</f>
        <v>9.223213750973229E-3</v>
      </c>
    </row>
    <row r="160" spans="1:20" ht="14.45" customHeight="1">
      <c r="A160" s="778"/>
      <c r="B160" s="786"/>
      <c r="C160" s="792"/>
      <c r="D160" s="1010"/>
      <c r="E160" s="786"/>
      <c r="F160" s="1827" t="s">
        <v>94</v>
      </c>
      <c r="G160" s="1828"/>
      <c r="H160" s="1829"/>
      <c r="I160" s="1829"/>
      <c r="J160" s="1829"/>
      <c r="K160" s="1829"/>
      <c r="L160" s="1830"/>
      <c r="M160" s="1829"/>
      <c r="N160" s="1831"/>
      <c r="O160" s="1831"/>
      <c r="P160" s="1832">
        <f>SUM(P161:P172)</f>
        <v>33702000</v>
      </c>
      <c r="Q160" s="1833">
        <f>P160</f>
        <v>33702000</v>
      </c>
      <c r="R160" s="1833">
        <v>33394000</v>
      </c>
      <c r="S160" s="1834">
        <f>+Q160-R160</f>
        <v>308000</v>
      </c>
      <c r="T160" s="1835">
        <f>+S160/R160</f>
        <v>9.223213750973229E-3</v>
      </c>
    </row>
    <row r="161" spans="1:20" ht="14.45" customHeight="1">
      <c r="A161" s="1130"/>
      <c r="B161" s="846"/>
      <c r="C161" s="780"/>
      <c r="D161" s="779"/>
      <c r="E161" s="846"/>
      <c r="F161" s="1921" t="s">
        <v>1838</v>
      </c>
      <c r="G161" s="1922">
        <v>525000</v>
      </c>
      <c r="H161" s="1908" t="s">
        <v>21</v>
      </c>
      <c r="I161" s="3054">
        <v>12</v>
      </c>
      <c r="J161" s="1908"/>
      <c r="K161" s="1909"/>
      <c r="L161" s="1910"/>
      <c r="M161" s="1909"/>
      <c r="N161" s="1911"/>
      <c r="O161" s="1911" t="s">
        <v>22</v>
      </c>
      <c r="P161" s="1912">
        <f t="shared" ref="P161:P172" si="6">ROUNDUP(G161*I161,-3)</f>
        <v>6300000</v>
      </c>
      <c r="Q161" s="1913"/>
      <c r="R161" s="1913"/>
      <c r="S161" s="1914"/>
      <c r="T161" s="1915"/>
    </row>
    <row r="162" spans="1:20" ht="14.45" customHeight="1">
      <c r="A162" s="778"/>
      <c r="B162" s="786"/>
      <c r="C162" s="792"/>
      <c r="D162" s="1010"/>
      <c r="E162" s="786"/>
      <c r="F162" s="1902" t="s">
        <v>1839</v>
      </c>
      <c r="G162" s="1903">
        <v>300000</v>
      </c>
      <c r="H162" s="1431" t="s">
        <v>21</v>
      </c>
      <c r="I162" s="1917">
        <v>12</v>
      </c>
      <c r="J162" s="1431"/>
      <c r="K162" s="1433"/>
      <c r="L162" s="1837"/>
      <c r="M162" s="1433"/>
      <c r="N162" s="1436"/>
      <c r="O162" s="1436" t="s">
        <v>22</v>
      </c>
      <c r="P162" s="1437">
        <f t="shared" si="6"/>
        <v>3600000</v>
      </c>
      <c r="Q162" s="1438"/>
      <c r="R162" s="1438"/>
      <c r="S162" s="1439"/>
      <c r="T162" s="1440"/>
    </row>
    <row r="163" spans="1:20" ht="14.45" customHeight="1">
      <c r="A163" s="778"/>
      <c r="B163" s="786"/>
      <c r="C163" s="792"/>
      <c r="D163" s="1010"/>
      <c r="E163" s="786"/>
      <c r="F163" s="1902" t="s">
        <v>1840</v>
      </c>
      <c r="G163" s="1903">
        <v>250000</v>
      </c>
      <c r="H163" s="1431" t="s">
        <v>21</v>
      </c>
      <c r="I163" s="1899">
        <v>4</v>
      </c>
      <c r="J163" s="1431"/>
      <c r="K163" s="1433"/>
      <c r="L163" s="1837"/>
      <c r="M163" s="1433"/>
      <c r="N163" s="1436"/>
      <c r="O163" s="1436" t="s">
        <v>22</v>
      </c>
      <c r="P163" s="1437">
        <f t="shared" si="6"/>
        <v>1000000</v>
      </c>
      <c r="Q163" s="1438"/>
      <c r="R163" s="1438"/>
      <c r="S163" s="1439"/>
      <c r="T163" s="1440"/>
    </row>
    <row r="164" spans="1:20" ht="14.45" customHeight="1">
      <c r="A164" s="778"/>
      <c r="B164" s="786"/>
      <c r="C164" s="792"/>
      <c r="D164" s="1010"/>
      <c r="E164" s="786"/>
      <c r="F164" s="1902" t="s">
        <v>1841</v>
      </c>
      <c r="G164" s="1903">
        <v>150000</v>
      </c>
      <c r="H164" s="1431" t="s">
        <v>21</v>
      </c>
      <c r="I164" s="1917">
        <v>12</v>
      </c>
      <c r="J164" s="1431"/>
      <c r="K164" s="1433"/>
      <c r="L164" s="1837"/>
      <c r="M164" s="1433"/>
      <c r="N164" s="1436"/>
      <c r="O164" s="1436" t="s">
        <v>22</v>
      </c>
      <c r="P164" s="1437">
        <f t="shared" si="6"/>
        <v>1800000</v>
      </c>
      <c r="Q164" s="1438"/>
      <c r="R164" s="1438"/>
      <c r="S164" s="1439"/>
      <c r="T164" s="1440"/>
    </row>
    <row r="165" spans="1:20" ht="14.45" customHeight="1">
      <c r="A165" s="778"/>
      <c r="B165" s="786"/>
      <c r="C165" s="792"/>
      <c r="D165" s="1010"/>
      <c r="E165" s="786"/>
      <c r="F165" s="1902" t="s">
        <v>1842</v>
      </c>
      <c r="G165" s="1903">
        <v>150000</v>
      </c>
      <c r="H165" s="1431" t="s">
        <v>21</v>
      </c>
      <c r="I165" s="1917">
        <v>12</v>
      </c>
      <c r="J165" s="1431"/>
      <c r="K165" s="1433"/>
      <c r="L165" s="1837"/>
      <c r="M165" s="1433"/>
      <c r="N165" s="1436"/>
      <c r="O165" s="1436" t="s">
        <v>22</v>
      </c>
      <c r="P165" s="1437">
        <f t="shared" si="6"/>
        <v>1800000</v>
      </c>
      <c r="Q165" s="1438"/>
      <c r="R165" s="1438"/>
      <c r="S165" s="1439"/>
      <c r="T165" s="1440"/>
    </row>
    <row r="166" spans="1:20" ht="14.45" customHeight="1">
      <c r="A166" s="778"/>
      <c r="B166" s="786"/>
      <c r="C166" s="792"/>
      <c r="D166" s="1010"/>
      <c r="E166" s="786"/>
      <c r="F166" s="1902" t="s">
        <v>1843</v>
      </c>
      <c r="G166" s="1903">
        <v>150000</v>
      </c>
      <c r="H166" s="1431" t="s">
        <v>21</v>
      </c>
      <c r="I166" s="1917">
        <v>12</v>
      </c>
      <c r="J166" s="1431"/>
      <c r="K166" s="1433"/>
      <c r="L166" s="1837"/>
      <c r="M166" s="1433"/>
      <c r="N166" s="1436"/>
      <c r="O166" s="1436" t="s">
        <v>22</v>
      </c>
      <c r="P166" s="1437">
        <f t="shared" si="6"/>
        <v>1800000</v>
      </c>
      <c r="Q166" s="1438"/>
      <c r="R166" s="1438"/>
      <c r="S166" s="1439"/>
      <c r="T166" s="1440"/>
    </row>
    <row r="167" spans="1:20" ht="14.45" customHeight="1">
      <c r="A167" s="778"/>
      <c r="B167" s="786"/>
      <c r="C167" s="792"/>
      <c r="D167" s="1010"/>
      <c r="E167" s="786"/>
      <c r="F167" s="1902" t="s">
        <v>1844</v>
      </c>
      <c r="G167" s="1903">
        <v>320000</v>
      </c>
      <c r="H167" s="1431" t="s">
        <v>21</v>
      </c>
      <c r="I167" s="1917">
        <v>12</v>
      </c>
      <c r="J167" s="1431" t="s">
        <v>1799</v>
      </c>
      <c r="K167" s="1433"/>
      <c r="L167" s="1837"/>
      <c r="M167" s="1433"/>
      <c r="N167" s="1436"/>
      <c r="O167" s="1436" t="s">
        <v>22</v>
      </c>
      <c r="P167" s="1437">
        <f t="shared" si="6"/>
        <v>3840000</v>
      </c>
      <c r="Q167" s="1438"/>
      <c r="R167" s="1438"/>
      <c r="S167" s="1439"/>
      <c r="T167" s="1440"/>
    </row>
    <row r="168" spans="1:20" ht="14.45" customHeight="1">
      <c r="A168" s="778"/>
      <c r="B168" s="786"/>
      <c r="C168" s="792"/>
      <c r="D168" s="1010"/>
      <c r="E168" s="786"/>
      <c r="F168" s="1902" t="s">
        <v>1845</v>
      </c>
      <c r="G168" s="1903">
        <v>740000</v>
      </c>
      <c r="H168" s="1431" t="s">
        <v>21</v>
      </c>
      <c r="I168" s="1899">
        <v>1</v>
      </c>
      <c r="J168" s="1431"/>
      <c r="K168" s="1433"/>
      <c r="L168" s="1837"/>
      <c r="M168" s="1433"/>
      <c r="N168" s="1436"/>
      <c r="O168" s="1436" t="s">
        <v>22</v>
      </c>
      <c r="P168" s="1437">
        <f t="shared" si="6"/>
        <v>740000</v>
      </c>
      <c r="Q168" s="1438"/>
      <c r="R168" s="1438"/>
      <c r="S168" s="1439"/>
      <c r="T168" s="1440"/>
    </row>
    <row r="169" spans="1:20" ht="14.45" customHeight="1">
      <c r="A169" s="778"/>
      <c r="B169" s="786"/>
      <c r="C169" s="792"/>
      <c r="D169" s="1010"/>
      <c r="E169" s="786"/>
      <c r="F169" s="1902" t="s">
        <v>1846</v>
      </c>
      <c r="G169" s="1903">
        <v>550000</v>
      </c>
      <c r="H169" s="1431" t="s">
        <v>21</v>
      </c>
      <c r="I169" s="1899">
        <v>2</v>
      </c>
      <c r="J169" s="1431"/>
      <c r="K169" s="1433"/>
      <c r="L169" s="1837"/>
      <c r="M169" s="1433"/>
      <c r="N169" s="1436"/>
      <c r="O169" s="1436" t="s">
        <v>22</v>
      </c>
      <c r="P169" s="1437">
        <f t="shared" si="6"/>
        <v>1100000</v>
      </c>
      <c r="Q169" s="1438"/>
      <c r="R169" s="1438"/>
      <c r="S169" s="1439"/>
      <c r="T169" s="1440"/>
    </row>
    <row r="170" spans="1:20" ht="14.45" customHeight="1">
      <c r="A170" s="778"/>
      <c r="B170" s="786"/>
      <c r="C170" s="792"/>
      <c r="D170" s="1010"/>
      <c r="E170" s="786"/>
      <c r="F170" s="1895" t="s">
        <v>1849</v>
      </c>
      <c r="G170" s="1903">
        <v>550000</v>
      </c>
      <c r="H170" s="1431" t="s">
        <v>21</v>
      </c>
      <c r="I170" s="1899">
        <v>2</v>
      </c>
      <c r="J170" s="1431"/>
      <c r="K170" s="1433"/>
      <c r="L170" s="1837"/>
      <c r="M170" s="1433"/>
      <c r="N170" s="1436"/>
      <c r="O170" s="1436" t="s">
        <v>22</v>
      </c>
      <c r="P170" s="1437">
        <f t="shared" si="6"/>
        <v>1100000</v>
      </c>
      <c r="Q170" s="1438"/>
      <c r="R170" s="1438"/>
      <c r="S170" s="1439"/>
      <c r="T170" s="1440"/>
    </row>
    <row r="171" spans="1:20" ht="14.45" customHeight="1">
      <c r="A171" s="778"/>
      <c r="B171" s="786"/>
      <c r="C171" s="792"/>
      <c r="D171" s="1010"/>
      <c r="E171" s="786"/>
      <c r="F171" s="1902" t="s">
        <v>1847</v>
      </c>
      <c r="G171" s="1903">
        <v>8422000</v>
      </c>
      <c r="H171" s="1826" t="s">
        <v>21</v>
      </c>
      <c r="I171" s="1899">
        <v>1</v>
      </c>
      <c r="J171" s="1826"/>
      <c r="K171" s="1874"/>
      <c r="L171" s="1875"/>
      <c r="M171" s="1874"/>
      <c r="N171" s="1855"/>
      <c r="O171" s="1855" t="s">
        <v>22</v>
      </c>
      <c r="P171" s="1839">
        <f t="shared" si="6"/>
        <v>8422000</v>
      </c>
      <c r="Q171" s="1876"/>
      <c r="R171" s="1876"/>
      <c r="S171" s="1877"/>
      <c r="T171" s="1920"/>
    </row>
    <row r="172" spans="1:20" ht="14.45" customHeight="1">
      <c r="A172" s="778"/>
      <c r="B172" s="786"/>
      <c r="C172" s="792"/>
      <c r="D172" s="1010"/>
      <c r="E172" s="846"/>
      <c r="F172" s="1921" t="s">
        <v>1848</v>
      </c>
      <c r="G172" s="1922">
        <v>550000</v>
      </c>
      <c r="H172" s="1908" t="s">
        <v>21</v>
      </c>
      <c r="I172" s="1907">
        <v>4</v>
      </c>
      <c r="J172" s="1908"/>
      <c r="K172" s="1909"/>
      <c r="L172" s="1910"/>
      <c r="M172" s="1909"/>
      <c r="N172" s="1911"/>
      <c r="O172" s="1911" t="s">
        <v>22</v>
      </c>
      <c r="P172" s="1912">
        <f t="shared" si="6"/>
        <v>2200000</v>
      </c>
      <c r="Q172" s="1913"/>
      <c r="R172" s="1913"/>
      <c r="S172" s="1914"/>
      <c r="T172" s="1440"/>
    </row>
    <row r="173" spans="1:20" ht="14.45" customHeight="1">
      <c r="A173" s="778"/>
      <c r="B173" s="786"/>
      <c r="C173" s="792"/>
      <c r="D173" s="1010"/>
      <c r="E173" s="3637" t="s">
        <v>197</v>
      </c>
      <c r="F173" s="3638"/>
      <c r="G173" s="3638"/>
      <c r="H173" s="3638"/>
      <c r="I173" s="3638"/>
      <c r="J173" s="3638"/>
      <c r="K173" s="3638"/>
      <c r="L173" s="3638"/>
      <c r="M173" s="3638"/>
      <c r="N173" s="3638"/>
      <c r="O173" s="3638"/>
      <c r="P173" s="3639"/>
      <c r="Q173" s="1049">
        <f>ROUNDUP(P174,-3)</f>
        <v>4225000</v>
      </c>
      <c r="R173" s="1049">
        <v>4050000</v>
      </c>
      <c r="S173" s="1050">
        <f>+Q173-R173</f>
        <v>175000</v>
      </c>
      <c r="T173" s="647">
        <f>+S173/R173</f>
        <v>4.3209876543209874E-2</v>
      </c>
    </row>
    <row r="174" spans="1:20" ht="14.45" customHeight="1">
      <c r="A174" s="778"/>
      <c r="B174" s="786"/>
      <c r="C174" s="792"/>
      <c r="D174" s="1010"/>
      <c r="E174" s="786"/>
      <c r="F174" s="1827" t="s">
        <v>97</v>
      </c>
      <c r="G174" s="1828"/>
      <c r="H174" s="1829"/>
      <c r="I174" s="1829"/>
      <c r="J174" s="1829"/>
      <c r="K174" s="1829"/>
      <c r="L174" s="1830"/>
      <c r="M174" s="1829"/>
      <c r="N174" s="1831"/>
      <c r="O174" s="1831"/>
      <c r="P174" s="1832">
        <f>SUM(P175:P177)</f>
        <v>4225000</v>
      </c>
      <c r="Q174" s="1833">
        <f>P174</f>
        <v>4225000</v>
      </c>
      <c r="R174" s="1833">
        <v>4050000</v>
      </c>
      <c r="S174" s="1834">
        <f>+Q174-R174</f>
        <v>175000</v>
      </c>
      <c r="T174" s="1835">
        <f>+S174/R174</f>
        <v>4.3209876543209874E-2</v>
      </c>
    </row>
    <row r="175" spans="1:20" ht="14.45" customHeight="1">
      <c r="A175" s="778"/>
      <c r="B175" s="786"/>
      <c r="C175" s="792"/>
      <c r="D175" s="1010"/>
      <c r="E175" s="786"/>
      <c r="F175" s="1429" t="s">
        <v>1850</v>
      </c>
      <c r="G175" s="1893">
        <v>400000</v>
      </c>
      <c r="H175" s="1431" t="s">
        <v>21</v>
      </c>
      <c r="I175" s="1899">
        <v>1</v>
      </c>
      <c r="J175" s="1431"/>
      <c r="K175" s="1433"/>
      <c r="L175" s="1837"/>
      <c r="M175" s="1433"/>
      <c r="N175" s="1436"/>
      <c r="O175" s="1436" t="s">
        <v>22</v>
      </c>
      <c r="P175" s="1437">
        <f>G175*I175</f>
        <v>400000</v>
      </c>
      <c r="Q175" s="1438"/>
      <c r="R175" s="1438"/>
      <c r="S175" s="1439"/>
      <c r="T175" s="1440"/>
    </row>
    <row r="176" spans="1:20" ht="14.45" customHeight="1">
      <c r="A176" s="778"/>
      <c r="B176" s="786"/>
      <c r="C176" s="792"/>
      <c r="D176" s="1010"/>
      <c r="E176" s="786"/>
      <c r="F176" s="1923" t="s">
        <v>1851</v>
      </c>
      <c r="G176" s="1924">
        <v>1785000</v>
      </c>
      <c r="H176" s="1431" t="s">
        <v>21</v>
      </c>
      <c r="I176" s="1899">
        <v>1</v>
      </c>
      <c r="J176" s="1431"/>
      <c r="K176" s="1433"/>
      <c r="L176" s="1837"/>
      <c r="M176" s="1433"/>
      <c r="N176" s="1436"/>
      <c r="O176" s="1436" t="s">
        <v>22</v>
      </c>
      <c r="P176" s="1437">
        <f>G176*I176</f>
        <v>1785000</v>
      </c>
      <c r="Q176" s="1438"/>
      <c r="R176" s="1438"/>
      <c r="S176" s="1439"/>
      <c r="T176" s="1440"/>
    </row>
    <row r="177" spans="1:20" ht="14.45" customHeight="1">
      <c r="A177" s="778"/>
      <c r="B177" s="786"/>
      <c r="C177" s="792"/>
      <c r="D177" s="1010"/>
      <c r="E177" s="846"/>
      <c r="F177" s="1925" t="s">
        <v>1852</v>
      </c>
      <c r="G177" s="1926">
        <v>2040000</v>
      </c>
      <c r="H177" s="1908" t="s">
        <v>21</v>
      </c>
      <c r="I177" s="1907">
        <v>1</v>
      </c>
      <c r="J177" s="1908"/>
      <c r="K177" s="1909"/>
      <c r="L177" s="1910"/>
      <c r="M177" s="1909"/>
      <c r="N177" s="1911"/>
      <c r="O177" s="1911" t="s">
        <v>22</v>
      </c>
      <c r="P177" s="1912">
        <f>G177*I177</f>
        <v>2040000</v>
      </c>
      <c r="Q177" s="1913"/>
      <c r="R177" s="1913"/>
      <c r="S177" s="1914"/>
      <c r="T177" s="1915"/>
    </row>
    <row r="178" spans="1:20" ht="14.45" customHeight="1">
      <c r="A178" s="778"/>
      <c r="B178" s="786"/>
      <c r="C178" s="792"/>
      <c r="D178" s="1010"/>
      <c r="E178" s="3637" t="s">
        <v>198</v>
      </c>
      <c r="F178" s="3638"/>
      <c r="G178" s="3638"/>
      <c r="H178" s="3638"/>
      <c r="I178" s="3638"/>
      <c r="J178" s="3638"/>
      <c r="K178" s="3638"/>
      <c r="L178" s="3638"/>
      <c r="M178" s="3638"/>
      <c r="N178" s="3638"/>
      <c r="O178" s="3638"/>
      <c r="P178" s="3639"/>
      <c r="Q178" s="1049">
        <f>ROUNDUP(P179,-3)</f>
        <v>24653000</v>
      </c>
      <c r="R178" s="1049">
        <v>20506000</v>
      </c>
      <c r="S178" s="1050">
        <f>+Q178-R178</f>
        <v>4147000</v>
      </c>
      <c r="T178" s="1051">
        <f>+S178/R178</f>
        <v>0.20223349263630158</v>
      </c>
    </row>
    <row r="179" spans="1:20" ht="14.45" customHeight="1">
      <c r="A179" s="778"/>
      <c r="B179" s="786"/>
      <c r="C179" s="792"/>
      <c r="D179" s="1010"/>
      <c r="E179" s="786"/>
      <c r="F179" s="1827" t="s">
        <v>471</v>
      </c>
      <c r="G179" s="1828"/>
      <c r="H179" s="1829"/>
      <c r="I179" s="1829"/>
      <c r="J179" s="1829"/>
      <c r="K179" s="1829"/>
      <c r="L179" s="1830"/>
      <c r="M179" s="1829"/>
      <c r="N179" s="1831"/>
      <c r="O179" s="1831"/>
      <c r="P179" s="1832">
        <f>SUM(P180:P186)</f>
        <v>24653000</v>
      </c>
      <c r="Q179" s="1833">
        <f>P179</f>
        <v>24653000</v>
      </c>
      <c r="R179" s="1833">
        <v>20506000</v>
      </c>
      <c r="S179" s="1834">
        <f>+Q179-R179</f>
        <v>4147000</v>
      </c>
      <c r="T179" s="1835">
        <f>+S179/R179</f>
        <v>0.20223349263630158</v>
      </c>
    </row>
    <row r="180" spans="1:20" ht="14.45" customHeight="1">
      <c r="A180" s="778"/>
      <c r="B180" s="786"/>
      <c r="C180" s="792"/>
      <c r="D180" s="1010"/>
      <c r="E180" s="786"/>
      <c r="F180" s="1429" t="s">
        <v>1853</v>
      </c>
      <c r="G180" s="1893">
        <v>173400</v>
      </c>
      <c r="H180" s="1431" t="s">
        <v>21</v>
      </c>
      <c r="I180" s="1899">
        <v>5</v>
      </c>
      <c r="J180" s="1431"/>
      <c r="K180" s="1433"/>
      <c r="L180" s="1837"/>
      <c r="M180" s="1433"/>
      <c r="N180" s="1436"/>
      <c r="O180" s="1436" t="s">
        <v>22</v>
      </c>
      <c r="P180" s="1437">
        <f t="shared" ref="P180:P186" si="7">ROUNDUP(G180*I180,-3)</f>
        <v>867000</v>
      </c>
      <c r="Q180" s="1438"/>
      <c r="R180" s="1438"/>
      <c r="S180" s="1439"/>
      <c r="T180" s="1440"/>
    </row>
    <row r="181" spans="1:20" ht="14.45" customHeight="1">
      <c r="A181" s="778"/>
      <c r="B181" s="786"/>
      <c r="C181" s="792"/>
      <c r="D181" s="1010"/>
      <c r="E181" s="786"/>
      <c r="F181" s="1429" t="s">
        <v>1854</v>
      </c>
      <c r="G181" s="1893">
        <v>3000000</v>
      </c>
      <c r="H181" s="1431" t="s">
        <v>21</v>
      </c>
      <c r="I181" s="1899">
        <v>1</v>
      </c>
      <c r="J181" s="1431"/>
      <c r="K181" s="1433"/>
      <c r="L181" s="1837"/>
      <c r="M181" s="1433"/>
      <c r="N181" s="1436"/>
      <c r="O181" s="1436" t="s">
        <v>22</v>
      </c>
      <c r="P181" s="1437">
        <f t="shared" si="7"/>
        <v>3000000</v>
      </c>
      <c r="Q181" s="1438"/>
      <c r="R181" s="1438"/>
      <c r="S181" s="1439"/>
      <c r="T181" s="1440"/>
    </row>
    <row r="182" spans="1:20" ht="14.45" customHeight="1">
      <c r="A182" s="778"/>
      <c r="B182" s="786"/>
      <c r="C182" s="792"/>
      <c r="D182" s="1010"/>
      <c r="E182" s="786"/>
      <c r="F182" s="1429" t="s">
        <v>472</v>
      </c>
      <c r="G182" s="1893">
        <v>1530000</v>
      </c>
      <c r="H182" s="1431" t="s">
        <v>21</v>
      </c>
      <c r="I182" s="1899">
        <v>1</v>
      </c>
      <c r="J182" s="1431"/>
      <c r="K182" s="1433"/>
      <c r="L182" s="1837"/>
      <c r="M182" s="1433"/>
      <c r="N182" s="1436"/>
      <c r="O182" s="1436" t="s">
        <v>22</v>
      </c>
      <c r="P182" s="1437">
        <f t="shared" si="7"/>
        <v>1530000</v>
      </c>
      <c r="Q182" s="1438"/>
      <c r="R182" s="1438"/>
      <c r="S182" s="1439"/>
      <c r="T182" s="1440"/>
    </row>
    <row r="183" spans="1:20" ht="14.45" customHeight="1">
      <c r="A183" s="778"/>
      <c r="B183" s="786"/>
      <c r="C183" s="792"/>
      <c r="D183" s="1010"/>
      <c r="E183" s="786"/>
      <c r="F183" s="1902" t="s">
        <v>1855</v>
      </c>
      <c r="G183" s="1924">
        <v>2040000</v>
      </c>
      <c r="H183" s="1431" t="s">
        <v>21</v>
      </c>
      <c r="I183" s="1927">
        <v>1</v>
      </c>
      <c r="J183" s="1431"/>
      <c r="K183" s="1433"/>
      <c r="L183" s="1837"/>
      <c r="M183" s="1433"/>
      <c r="N183" s="1436"/>
      <c r="O183" s="1436" t="s">
        <v>22</v>
      </c>
      <c r="P183" s="1437">
        <f t="shared" si="7"/>
        <v>2040000</v>
      </c>
      <c r="Q183" s="1438"/>
      <c r="R183" s="1438"/>
      <c r="S183" s="1439"/>
      <c r="T183" s="1440"/>
    </row>
    <row r="184" spans="1:20" ht="14.45" customHeight="1">
      <c r="A184" s="778"/>
      <c r="B184" s="786"/>
      <c r="C184" s="792"/>
      <c r="D184" s="1010"/>
      <c r="E184" s="786"/>
      <c r="F184" s="1923" t="s">
        <v>1856</v>
      </c>
      <c r="G184" s="1924">
        <v>13216000</v>
      </c>
      <c r="H184" s="1431" t="s">
        <v>21</v>
      </c>
      <c r="I184" s="1927">
        <v>1</v>
      </c>
      <c r="J184" s="1431"/>
      <c r="K184" s="1433"/>
      <c r="L184" s="1837"/>
      <c r="M184" s="1433"/>
      <c r="N184" s="1436"/>
      <c r="O184" s="1436" t="s">
        <v>22</v>
      </c>
      <c r="P184" s="1437">
        <f t="shared" si="7"/>
        <v>13216000</v>
      </c>
      <c r="Q184" s="1438"/>
      <c r="R184" s="1438"/>
      <c r="S184" s="1439"/>
      <c r="T184" s="1440"/>
    </row>
    <row r="185" spans="1:20" ht="14.45" customHeight="1">
      <c r="A185" s="778"/>
      <c r="B185" s="786"/>
      <c r="C185" s="792"/>
      <c r="D185" s="1010"/>
      <c r="E185" s="786"/>
      <c r="F185" s="1923" t="s">
        <v>1857</v>
      </c>
      <c r="G185" s="1924">
        <v>3000000</v>
      </c>
      <c r="H185" s="1431" t="s">
        <v>21</v>
      </c>
      <c r="I185" s="1927">
        <v>1</v>
      </c>
      <c r="J185" s="1431"/>
      <c r="K185" s="1433"/>
      <c r="L185" s="1837"/>
      <c r="M185" s="1433"/>
      <c r="N185" s="1436"/>
      <c r="O185" s="1436" t="s">
        <v>22</v>
      </c>
      <c r="P185" s="1437">
        <f t="shared" si="7"/>
        <v>3000000</v>
      </c>
      <c r="Q185" s="1438"/>
      <c r="R185" s="1438"/>
      <c r="S185" s="1439"/>
      <c r="T185" s="1440"/>
    </row>
    <row r="186" spans="1:20" ht="14.45" customHeight="1">
      <c r="A186" s="778"/>
      <c r="B186" s="786"/>
      <c r="C186" s="792"/>
      <c r="D186" s="1010"/>
      <c r="E186" s="786"/>
      <c r="F186" s="1923" t="s">
        <v>1858</v>
      </c>
      <c r="G186" s="1924">
        <v>1000000</v>
      </c>
      <c r="H186" s="1431" t="s">
        <v>21</v>
      </c>
      <c r="I186" s="1927">
        <v>1</v>
      </c>
      <c r="J186" s="1431"/>
      <c r="K186" s="1433"/>
      <c r="L186" s="1837"/>
      <c r="M186" s="1433"/>
      <c r="N186" s="1436"/>
      <c r="O186" s="1436" t="s">
        <v>22</v>
      </c>
      <c r="P186" s="1437">
        <f t="shared" si="7"/>
        <v>1000000</v>
      </c>
      <c r="Q186" s="1438"/>
      <c r="R186" s="1438"/>
      <c r="S186" s="1439"/>
      <c r="T186" s="1440"/>
    </row>
    <row r="187" spans="1:20" ht="14.45" customHeight="1">
      <c r="A187" s="778"/>
      <c r="B187" s="786"/>
      <c r="C187" s="792"/>
      <c r="D187" s="1010"/>
      <c r="E187" s="3637" t="s">
        <v>221</v>
      </c>
      <c r="F187" s="3638"/>
      <c r="G187" s="3638"/>
      <c r="H187" s="3638"/>
      <c r="I187" s="3638"/>
      <c r="J187" s="3638"/>
      <c r="K187" s="3638"/>
      <c r="L187" s="3638"/>
      <c r="M187" s="3638"/>
      <c r="N187" s="3638"/>
      <c r="O187" s="3638"/>
      <c r="P187" s="3639"/>
      <c r="Q187" s="645">
        <f>P188</f>
        <v>1200000</v>
      </c>
      <c r="R187" s="645">
        <v>9600000</v>
      </c>
      <c r="S187" s="646">
        <f>+Q187-R187</f>
        <v>-8400000</v>
      </c>
      <c r="T187" s="647">
        <f>+S187/R187</f>
        <v>-0.875</v>
      </c>
    </row>
    <row r="188" spans="1:20" ht="14.45" customHeight="1">
      <c r="A188" s="778"/>
      <c r="B188" s="786"/>
      <c r="C188" s="792"/>
      <c r="D188" s="1010"/>
      <c r="E188" s="786"/>
      <c r="F188" s="1827" t="s">
        <v>1234</v>
      </c>
      <c r="G188" s="1828"/>
      <c r="H188" s="1829"/>
      <c r="I188" s="1829"/>
      <c r="J188" s="1829"/>
      <c r="K188" s="1829"/>
      <c r="L188" s="1830"/>
      <c r="M188" s="1829"/>
      <c r="N188" s="1831"/>
      <c r="O188" s="1831"/>
      <c r="P188" s="1832">
        <f>SUM(P189:P190)</f>
        <v>1200000</v>
      </c>
      <c r="Q188" s="1833">
        <f>P188</f>
        <v>1200000</v>
      </c>
      <c r="R188" s="1833">
        <v>9600000</v>
      </c>
      <c r="S188" s="1834">
        <f>+Q188-R188</f>
        <v>-8400000</v>
      </c>
      <c r="T188" s="1835">
        <f>+S188/R188</f>
        <v>-0.875</v>
      </c>
    </row>
    <row r="189" spans="1:20" ht="14.45" customHeight="1">
      <c r="A189" s="778"/>
      <c r="B189" s="786"/>
      <c r="C189" s="792"/>
      <c r="D189" s="1010"/>
      <c r="E189" s="786"/>
      <c r="F189" s="1841" t="s">
        <v>1859</v>
      </c>
      <c r="G189" s="1842">
        <v>100000</v>
      </c>
      <c r="H189" s="1826" t="s">
        <v>21</v>
      </c>
      <c r="I189" s="1874">
        <v>12</v>
      </c>
      <c r="J189" s="1826"/>
      <c r="K189" s="1928"/>
      <c r="L189" s="1875"/>
      <c r="M189" s="1874"/>
      <c r="N189" s="1855"/>
      <c r="O189" s="1855" t="s">
        <v>22</v>
      </c>
      <c r="P189" s="1839">
        <f>ROUNDUP(G189*I189,-3)</f>
        <v>1200000</v>
      </c>
      <c r="Q189" s="1865"/>
      <c r="R189" s="1865"/>
      <c r="S189" s="1866"/>
      <c r="T189" s="1929"/>
    </row>
    <row r="190" spans="1:20" ht="14.45" customHeight="1">
      <c r="A190" s="778"/>
      <c r="B190" s="786"/>
      <c r="C190" s="792"/>
      <c r="D190" s="1010"/>
      <c r="E190" s="3637" t="s">
        <v>3133</v>
      </c>
      <c r="F190" s="3638"/>
      <c r="G190" s="3638"/>
      <c r="H190" s="3638"/>
      <c r="I190" s="3638"/>
      <c r="J190" s="3638"/>
      <c r="K190" s="3638"/>
      <c r="L190" s="3638"/>
      <c r="M190" s="3638"/>
      <c r="N190" s="3638"/>
      <c r="O190" s="3638"/>
      <c r="P190" s="3639"/>
      <c r="Q190" s="645">
        <f>P191+P193</f>
        <v>5200000</v>
      </c>
      <c r="R190" s="645">
        <v>4160000</v>
      </c>
      <c r="S190" s="646">
        <f>+Q190-R190</f>
        <v>1040000</v>
      </c>
      <c r="T190" s="647">
        <f>+S190/R190</f>
        <v>0.25</v>
      </c>
    </row>
    <row r="191" spans="1:20" ht="14.45" customHeight="1">
      <c r="A191" s="778"/>
      <c r="B191" s="786"/>
      <c r="C191" s="792"/>
      <c r="D191" s="1010"/>
      <c r="E191" s="786"/>
      <c r="F191" s="1827" t="s">
        <v>1860</v>
      </c>
      <c r="G191" s="1828"/>
      <c r="H191" s="1829"/>
      <c r="I191" s="1829"/>
      <c r="J191" s="1829"/>
      <c r="K191" s="1829"/>
      <c r="L191" s="1830"/>
      <c r="M191" s="1829"/>
      <c r="N191" s="1831"/>
      <c r="O191" s="1831"/>
      <c r="P191" s="1832">
        <f>SUM(P192)</f>
        <v>3600000</v>
      </c>
      <c r="Q191" s="1833">
        <f>P191</f>
        <v>3600000</v>
      </c>
      <c r="R191" s="1833">
        <v>2400000</v>
      </c>
      <c r="S191" s="1834">
        <f>+Q191-R191</f>
        <v>1200000</v>
      </c>
      <c r="T191" s="1835">
        <f>+S191/R191</f>
        <v>0.5</v>
      </c>
    </row>
    <row r="192" spans="1:20" ht="14.45" customHeight="1">
      <c r="A192" s="778"/>
      <c r="B192" s="786"/>
      <c r="C192" s="792"/>
      <c r="D192" s="1010"/>
      <c r="E192" s="786"/>
      <c r="F192" s="1841" t="s">
        <v>1861</v>
      </c>
      <c r="G192" s="1430">
        <v>300000</v>
      </c>
      <c r="H192" s="1431" t="s">
        <v>21</v>
      </c>
      <c r="I192" s="1433">
        <v>12</v>
      </c>
      <c r="J192" s="1431"/>
      <c r="K192" s="1930"/>
      <c r="L192" s="1837"/>
      <c r="M192" s="1433"/>
      <c r="N192" s="1436"/>
      <c r="O192" s="1436" t="s">
        <v>22</v>
      </c>
      <c r="P192" s="1437">
        <f>ROUNDUP(G192*I192,-3)</f>
        <v>3600000</v>
      </c>
      <c r="Q192" s="1438"/>
      <c r="R192" s="1438"/>
      <c r="S192" s="1439"/>
      <c r="T192" s="1440"/>
    </row>
    <row r="193" spans="1:23" ht="14.45" customHeight="1">
      <c r="A193" s="778"/>
      <c r="B193" s="786"/>
      <c r="C193" s="792"/>
      <c r="D193" s="1010"/>
      <c r="E193" s="786"/>
      <c r="F193" s="1827" t="s">
        <v>1238</v>
      </c>
      <c r="G193" s="1828"/>
      <c r="H193" s="1829"/>
      <c r="I193" s="1829"/>
      <c r="J193" s="1829"/>
      <c r="K193" s="1829"/>
      <c r="L193" s="1830"/>
      <c r="M193" s="1829"/>
      <c r="N193" s="1831"/>
      <c r="O193" s="1831"/>
      <c r="P193" s="1832">
        <f>SUM(P194:P194)</f>
        <v>1600000</v>
      </c>
      <c r="Q193" s="1833">
        <f>P193</f>
        <v>1600000</v>
      </c>
      <c r="R193" s="1833">
        <v>1760000</v>
      </c>
      <c r="S193" s="1834">
        <f>+Q193-R193</f>
        <v>-160000</v>
      </c>
      <c r="T193" s="1835">
        <f>+S193/R193</f>
        <v>-9.0909090909090912E-2</v>
      </c>
    </row>
    <row r="194" spans="1:23" ht="14.45" customHeight="1">
      <c r="A194" s="778"/>
      <c r="B194" s="786"/>
      <c r="C194" s="792"/>
      <c r="D194" s="1010"/>
      <c r="E194" s="786"/>
      <c r="F194" s="1841" t="s">
        <v>1862</v>
      </c>
      <c r="G194" s="1850">
        <v>80000</v>
      </c>
      <c r="H194" s="1431" t="s">
        <v>21</v>
      </c>
      <c r="I194" s="1432">
        <v>20</v>
      </c>
      <c r="J194" s="1431"/>
      <c r="K194" s="1431"/>
      <c r="L194" s="1434"/>
      <c r="M194" s="1431"/>
      <c r="N194" s="1436"/>
      <c r="O194" s="1436" t="s">
        <v>22</v>
      </c>
      <c r="P194" s="1437">
        <f>ROUNDUP(G194*I194,-3)</f>
        <v>1600000</v>
      </c>
      <c r="Q194" s="1438"/>
      <c r="R194" s="1438"/>
      <c r="S194" s="1439"/>
      <c r="T194" s="1440"/>
    </row>
    <row r="195" spans="1:23" ht="14.45" customHeight="1">
      <c r="A195" s="778"/>
      <c r="B195" s="786"/>
      <c r="C195" s="792"/>
      <c r="D195" s="1010"/>
      <c r="E195" s="3637" t="s">
        <v>3077</v>
      </c>
      <c r="F195" s="3638"/>
      <c r="G195" s="3638"/>
      <c r="H195" s="3638"/>
      <c r="I195" s="3638"/>
      <c r="J195" s="3638"/>
      <c r="K195" s="3638"/>
      <c r="L195" s="3638"/>
      <c r="M195" s="3638"/>
      <c r="N195" s="3638"/>
      <c r="O195" s="3638"/>
      <c r="P195" s="3639"/>
      <c r="Q195" s="645">
        <f>P196</f>
        <v>4692000</v>
      </c>
      <c r="R195" s="645">
        <v>4600000</v>
      </c>
      <c r="S195" s="646">
        <f>+Q195-R195</f>
        <v>92000</v>
      </c>
      <c r="T195" s="647">
        <f>+S195/R195</f>
        <v>0.02</v>
      </c>
    </row>
    <row r="196" spans="1:23" ht="14.45" customHeight="1">
      <c r="A196" s="778"/>
      <c r="B196" s="786"/>
      <c r="C196" s="792"/>
      <c r="D196" s="1010"/>
      <c r="E196" s="786"/>
      <c r="F196" s="1827" t="s">
        <v>1863</v>
      </c>
      <c r="G196" s="1828"/>
      <c r="H196" s="1829"/>
      <c r="I196" s="1829"/>
      <c r="J196" s="1829"/>
      <c r="K196" s="1829"/>
      <c r="L196" s="1830"/>
      <c r="M196" s="1829"/>
      <c r="N196" s="1831"/>
      <c r="O196" s="1831"/>
      <c r="P196" s="1832">
        <f>SUM(P197:P198)</f>
        <v>4692000</v>
      </c>
      <c r="Q196" s="1833">
        <f>P196</f>
        <v>4692000</v>
      </c>
      <c r="R196" s="1833">
        <v>4600000</v>
      </c>
      <c r="S196" s="1834">
        <f>+Q196-R196</f>
        <v>92000</v>
      </c>
      <c r="T196" s="1835">
        <f>+S196/R196</f>
        <v>0.02</v>
      </c>
    </row>
    <row r="197" spans="1:23" ht="14.45" customHeight="1">
      <c r="A197" s="778"/>
      <c r="B197" s="786"/>
      <c r="C197" s="792"/>
      <c r="D197" s="1010"/>
      <c r="E197" s="786"/>
      <c r="F197" s="1429" t="s">
        <v>1864</v>
      </c>
      <c r="G197" s="1430">
        <v>1020000</v>
      </c>
      <c r="H197" s="1431" t="s">
        <v>21</v>
      </c>
      <c r="I197" s="1899">
        <v>1</v>
      </c>
      <c r="J197" s="1431"/>
      <c r="K197" s="1433"/>
      <c r="L197" s="1837"/>
      <c r="M197" s="1433"/>
      <c r="N197" s="1436"/>
      <c r="O197" s="1436" t="s">
        <v>22</v>
      </c>
      <c r="P197" s="1437">
        <f>ROUNDUP(G197*I197,-3)</f>
        <v>1020000</v>
      </c>
      <c r="Q197" s="1438"/>
      <c r="R197" s="1438"/>
      <c r="S197" s="1439"/>
      <c r="T197" s="1440"/>
    </row>
    <row r="198" spans="1:23" ht="14.45" customHeight="1">
      <c r="A198" s="778"/>
      <c r="B198" s="786"/>
      <c r="C198" s="792"/>
      <c r="D198" s="1010"/>
      <c r="E198" s="786"/>
      <c r="F198" s="1429" t="s">
        <v>1865</v>
      </c>
      <c r="G198" s="1850">
        <v>306000</v>
      </c>
      <c r="H198" s="1431" t="s">
        <v>21</v>
      </c>
      <c r="I198" s="1899">
        <v>12</v>
      </c>
      <c r="J198" s="1431"/>
      <c r="K198" s="1431"/>
      <c r="L198" s="1434"/>
      <c r="M198" s="1431"/>
      <c r="N198" s="1436"/>
      <c r="O198" s="1436" t="s">
        <v>22</v>
      </c>
      <c r="P198" s="1437">
        <f>ROUNDUP(G198*I198,-3)</f>
        <v>3672000</v>
      </c>
      <c r="Q198" s="1438"/>
      <c r="R198" s="1438"/>
      <c r="S198" s="1439"/>
      <c r="T198" s="1440"/>
    </row>
    <row r="199" spans="1:23" ht="14.45" customHeight="1">
      <c r="A199" s="778"/>
      <c r="B199" s="786"/>
      <c r="C199" s="792"/>
      <c r="D199" s="1010"/>
      <c r="E199" s="3637" t="s">
        <v>435</v>
      </c>
      <c r="F199" s="3638"/>
      <c r="G199" s="3638"/>
      <c r="H199" s="3638"/>
      <c r="I199" s="3638"/>
      <c r="J199" s="3638"/>
      <c r="K199" s="3638"/>
      <c r="L199" s="3638"/>
      <c r="M199" s="3638"/>
      <c r="N199" s="3638"/>
      <c r="O199" s="3638"/>
      <c r="P199" s="3639"/>
      <c r="Q199" s="645">
        <f>P200+P204</f>
        <v>13000000</v>
      </c>
      <c r="R199" s="645">
        <v>7000000</v>
      </c>
      <c r="S199" s="646">
        <f>+Q199-R199</f>
        <v>6000000</v>
      </c>
      <c r="T199" s="647">
        <f>+S199/R199</f>
        <v>0.8571428571428571</v>
      </c>
    </row>
    <row r="200" spans="1:23" ht="14.45" customHeight="1">
      <c r="A200" s="778"/>
      <c r="B200" s="786"/>
      <c r="C200" s="792"/>
      <c r="D200" s="1010"/>
      <c r="E200" s="786"/>
      <c r="F200" s="1827" t="s">
        <v>1866</v>
      </c>
      <c r="G200" s="1828"/>
      <c r="H200" s="1829"/>
      <c r="I200" s="1829"/>
      <c r="J200" s="1829"/>
      <c r="K200" s="1829"/>
      <c r="L200" s="1830"/>
      <c r="M200" s="1829"/>
      <c r="N200" s="1831"/>
      <c r="O200" s="1831"/>
      <c r="P200" s="1832">
        <f>SUM(P201:P203)</f>
        <v>11000000</v>
      </c>
      <c r="Q200" s="1833">
        <f>P200</f>
        <v>11000000</v>
      </c>
      <c r="R200" s="1833">
        <v>7000000</v>
      </c>
      <c r="S200" s="1834">
        <f>+Q200-R200</f>
        <v>4000000</v>
      </c>
      <c r="T200" s="1835">
        <f>+S200/R200</f>
        <v>0.5714285714285714</v>
      </c>
    </row>
    <row r="201" spans="1:23" ht="14.45" customHeight="1">
      <c r="A201" s="1130"/>
      <c r="B201" s="846"/>
      <c r="C201" s="780"/>
      <c r="D201" s="779"/>
      <c r="E201" s="846"/>
      <c r="F201" s="3055" t="s">
        <v>1867</v>
      </c>
      <c r="G201" s="1916">
        <v>500000</v>
      </c>
      <c r="H201" s="1908" t="s">
        <v>21</v>
      </c>
      <c r="I201" s="3056">
        <v>4</v>
      </c>
      <c r="J201" s="1908"/>
      <c r="K201" s="3057"/>
      <c r="L201" s="1910"/>
      <c r="M201" s="1909"/>
      <c r="N201" s="1911"/>
      <c r="O201" s="1911" t="s">
        <v>22</v>
      </c>
      <c r="P201" s="1912">
        <f>G201*I201</f>
        <v>2000000</v>
      </c>
      <c r="Q201" s="1913"/>
      <c r="R201" s="1913"/>
      <c r="S201" s="1914"/>
      <c r="T201" s="1915"/>
    </row>
    <row r="202" spans="1:23" ht="14.45" customHeight="1">
      <c r="A202" s="778"/>
      <c r="B202" s="786"/>
      <c r="C202" s="792"/>
      <c r="D202" s="1010"/>
      <c r="E202" s="786"/>
      <c r="F202" s="1838" t="s">
        <v>1868</v>
      </c>
      <c r="G202" s="1430">
        <v>1250000</v>
      </c>
      <c r="H202" s="1431" t="s">
        <v>21</v>
      </c>
      <c r="I202" s="1931">
        <v>4</v>
      </c>
      <c r="J202" s="1431"/>
      <c r="K202" s="1844"/>
      <c r="L202" s="1837"/>
      <c r="M202" s="1433"/>
      <c r="N202" s="1436"/>
      <c r="O202" s="1436" t="s">
        <v>22</v>
      </c>
      <c r="P202" s="1437">
        <f>G202*I202</f>
        <v>5000000</v>
      </c>
      <c r="Q202" s="1438"/>
      <c r="R202" s="1438"/>
      <c r="S202" s="1439"/>
      <c r="T202" s="1440"/>
    </row>
    <row r="203" spans="1:23" ht="14.45" customHeight="1">
      <c r="A203" s="778"/>
      <c r="B203" s="786"/>
      <c r="C203" s="792"/>
      <c r="D203" s="1010"/>
      <c r="E203" s="786"/>
      <c r="F203" s="1838" t="s">
        <v>1869</v>
      </c>
      <c r="G203" s="1430">
        <v>1000000</v>
      </c>
      <c r="H203" s="1431" t="s">
        <v>21</v>
      </c>
      <c r="I203" s="1931">
        <v>4</v>
      </c>
      <c r="J203" s="1431"/>
      <c r="K203" s="1844"/>
      <c r="L203" s="1837"/>
      <c r="M203" s="1433"/>
      <c r="N203" s="1436"/>
      <c r="O203" s="1436" t="s">
        <v>22</v>
      </c>
      <c r="P203" s="1437">
        <f>G203*I203</f>
        <v>4000000</v>
      </c>
      <c r="Q203" s="1932"/>
      <c r="R203" s="1932"/>
      <c r="S203" s="1933"/>
      <c r="T203" s="1440"/>
    </row>
    <row r="204" spans="1:23" ht="14.45" customHeight="1">
      <c r="A204" s="778"/>
      <c r="B204" s="786"/>
      <c r="C204" s="792"/>
      <c r="D204" s="1010"/>
      <c r="E204" s="786"/>
      <c r="F204" s="1827" t="s">
        <v>1870</v>
      </c>
      <c r="G204" s="1828"/>
      <c r="H204" s="1829"/>
      <c r="I204" s="1829"/>
      <c r="J204" s="1829"/>
      <c r="K204" s="1829"/>
      <c r="L204" s="1830"/>
      <c r="M204" s="1829"/>
      <c r="N204" s="1831"/>
      <c r="O204" s="1831"/>
      <c r="P204" s="1832">
        <f>SUM(P205)</f>
        <v>2000000</v>
      </c>
      <c r="Q204" s="1833">
        <f>P204</f>
        <v>2000000</v>
      </c>
      <c r="R204" s="1833">
        <v>0</v>
      </c>
      <c r="S204" s="1834">
        <f>+Q204-R204</f>
        <v>2000000</v>
      </c>
      <c r="T204" s="1835"/>
    </row>
    <row r="205" spans="1:23" ht="14.45" customHeight="1">
      <c r="A205" s="778"/>
      <c r="B205" s="786"/>
      <c r="C205" s="792"/>
      <c r="D205" s="1010"/>
      <c r="E205" s="786"/>
      <c r="F205" s="1841" t="s">
        <v>1871</v>
      </c>
      <c r="G205" s="1850">
        <v>2000000</v>
      </c>
      <c r="H205" s="1431" t="s">
        <v>21</v>
      </c>
      <c r="I205" s="1927">
        <v>1</v>
      </c>
      <c r="J205" s="1431"/>
      <c r="K205" s="1433"/>
      <c r="L205" s="1837"/>
      <c r="M205" s="1433"/>
      <c r="N205" s="1436"/>
      <c r="O205" s="1436" t="s">
        <v>22</v>
      </c>
      <c r="P205" s="1437">
        <f>ROUNDUP(G205*I205,-3)</f>
        <v>2000000</v>
      </c>
      <c r="Q205" s="1932"/>
      <c r="R205" s="1932"/>
      <c r="S205" s="1933"/>
      <c r="T205" s="1440"/>
    </row>
    <row r="206" spans="1:23" s="1137" customFormat="1" ht="15" customHeight="1">
      <c r="A206" s="1166"/>
      <c r="B206" s="1139"/>
      <c r="C206" s="1168"/>
      <c r="D206" s="1934" t="s">
        <v>1244</v>
      </c>
      <c r="E206" s="3344"/>
      <c r="F206" s="1935"/>
      <c r="G206" s="1936"/>
      <c r="H206" s="1937"/>
      <c r="I206" s="1937"/>
      <c r="J206" s="1937"/>
      <c r="K206" s="1937"/>
      <c r="L206" s="1938"/>
      <c r="M206" s="1937"/>
      <c r="N206" s="1939"/>
      <c r="O206" s="1939"/>
      <c r="P206" s="1937"/>
      <c r="Q206" s="1940">
        <f>Q207</f>
        <v>4960000</v>
      </c>
      <c r="R206" s="1941">
        <f>R207</f>
        <v>18800000</v>
      </c>
      <c r="S206" s="1942">
        <f>Q206-R206</f>
        <v>-13840000</v>
      </c>
      <c r="T206" s="1943">
        <f>S206/R206</f>
        <v>-0.7361702127659574</v>
      </c>
    </row>
    <row r="207" spans="1:23" ht="14.45" customHeight="1">
      <c r="A207" s="778"/>
      <c r="B207" s="786"/>
      <c r="C207" s="792"/>
      <c r="D207" s="1010"/>
      <c r="E207" s="3637" t="s">
        <v>3134</v>
      </c>
      <c r="F207" s="3638"/>
      <c r="G207" s="3638"/>
      <c r="H207" s="3638"/>
      <c r="I207" s="3638"/>
      <c r="J207" s="3638"/>
      <c r="K207" s="3638"/>
      <c r="L207" s="3638"/>
      <c r="M207" s="3638"/>
      <c r="N207" s="3638"/>
      <c r="O207" s="3638"/>
      <c r="P207" s="3639"/>
      <c r="Q207" s="645">
        <f>ROUNDUP(P208,-3)</f>
        <v>4960000</v>
      </c>
      <c r="R207" s="645">
        <v>18800000</v>
      </c>
      <c r="S207" s="646">
        <f>+Q207-R207</f>
        <v>-13840000</v>
      </c>
      <c r="T207" s="647">
        <f>+S207/R207</f>
        <v>-0.7361702127659574</v>
      </c>
    </row>
    <row r="208" spans="1:23" ht="14.45" customHeight="1">
      <c r="A208" s="778"/>
      <c r="B208" s="786"/>
      <c r="C208" s="792"/>
      <c r="D208" s="1010"/>
      <c r="E208" s="786"/>
      <c r="F208" s="1827" t="s">
        <v>320</v>
      </c>
      <c r="G208" s="1828"/>
      <c r="H208" s="1829"/>
      <c r="I208" s="1829"/>
      <c r="J208" s="1829"/>
      <c r="K208" s="1829"/>
      <c r="L208" s="1830"/>
      <c r="M208" s="1829"/>
      <c r="N208" s="1831"/>
      <c r="O208" s="1831"/>
      <c r="P208" s="1832">
        <f>SUM(P209)</f>
        <v>4960000</v>
      </c>
      <c r="Q208" s="1833">
        <f>P208</f>
        <v>4960000</v>
      </c>
      <c r="R208" s="1833">
        <v>18800000</v>
      </c>
      <c r="S208" s="1834">
        <f>+Q208-R208</f>
        <v>-13840000</v>
      </c>
      <c r="T208" s="1835">
        <f>+S208/R208</f>
        <v>-0.7361702127659574</v>
      </c>
      <c r="W208" s="128">
        <v>4960000</v>
      </c>
    </row>
    <row r="209" spans="1:23" ht="14.45" customHeight="1">
      <c r="A209" s="778"/>
      <c r="B209" s="786"/>
      <c r="C209" s="792"/>
      <c r="D209" s="1010"/>
      <c r="E209" s="786"/>
      <c r="F209" s="1838" t="s">
        <v>2323</v>
      </c>
      <c r="G209" s="1852">
        <v>1240000</v>
      </c>
      <c r="H209" s="1826" t="s">
        <v>21</v>
      </c>
      <c r="I209" s="1944">
        <v>4</v>
      </c>
      <c r="J209" s="1826"/>
      <c r="K209" s="1874"/>
      <c r="L209" s="1875"/>
      <c r="M209" s="1874"/>
      <c r="N209" s="1855"/>
      <c r="O209" s="1855" t="s">
        <v>22</v>
      </c>
      <c r="P209" s="1839">
        <f>G209*I209</f>
        <v>4960000</v>
      </c>
      <c r="Q209" s="1438"/>
      <c r="R209" s="1438"/>
      <c r="S209" s="1439"/>
      <c r="T209" s="1440"/>
      <c r="W209" s="128">
        <f>W208/4</f>
        <v>1240000</v>
      </c>
    </row>
    <row r="210" spans="1:23" ht="14.45" customHeight="1">
      <c r="A210" s="778"/>
      <c r="B210" s="786"/>
      <c r="C210" s="792"/>
      <c r="D210" s="715" t="s">
        <v>2861</v>
      </c>
      <c r="E210" s="3345"/>
      <c r="F210" s="716"/>
      <c r="G210" s="717"/>
      <c r="H210" s="716"/>
      <c r="I210" s="716"/>
      <c r="J210" s="716"/>
      <c r="K210" s="716"/>
      <c r="L210" s="1306"/>
      <c r="M210" s="1306"/>
      <c r="N210" s="1306"/>
      <c r="O210" s="718"/>
      <c r="P210" s="716"/>
      <c r="Q210" s="685">
        <f>Q211+Q255+Q284+Q355+Q364+Q368+Q371</f>
        <v>563165000</v>
      </c>
      <c r="R210" s="685">
        <f>R211+R255+R284+R355+R364+R368+R371</f>
        <v>631422000</v>
      </c>
      <c r="S210" s="639">
        <f>+Q210-R210</f>
        <v>-68257000</v>
      </c>
      <c r="T210" s="1825">
        <f>+S210/R210</f>
        <v>-0.10810044629423746</v>
      </c>
    </row>
    <row r="211" spans="1:23" ht="14.45" customHeight="1">
      <c r="A211" s="778"/>
      <c r="B211" s="786"/>
      <c r="C211" s="792"/>
      <c r="D211" s="1010"/>
      <c r="E211" s="3637" t="s">
        <v>3135</v>
      </c>
      <c r="F211" s="3638"/>
      <c r="G211" s="3638"/>
      <c r="H211" s="3638"/>
      <c r="I211" s="3638"/>
      <c r="J211" s="3638"/>
      <c r="K211" s="3638"/>
      <c r="L211" s="3638"/>
      <c r="M211" s="3638"/>
      <c r="N211" s="3638"/>
      <c r="O211" s="3638"/>
      <c r="P211" s="3639"/>
      <c r="Q211" s="645">
        <f>P212+P223+P228+P234+P238+P242+P245+P221</f>
        <v>71900000</v>
      </c>
      <c r="R211" s="1945">
        <f>SUM(R212:R254)</f>
        <v>81000000</v>
      </c>
      <c r="S211" s="646">
        <f>+Q211-R211</f>
        <v>-9100000</v>
      </c>
      <c r="T211" s="647">
        <f>+S211/R211</f>
        <v>-0.11234567901234568</v>
      </c>
    </row>
    <row r="212" spans="1:23" ht="14.45" customHeight="1">
      <c r="A212" s="778"/>
      <c r="B212" s="786"/>
      <c r="C212" s="792"/>
      <c r="D212" s="1010"/>
      <c r="E212" s="786"/>
      <c r="F212" s="1827" t="s">
        <v>1872</v>
      </c>
      <c r="G212" s="1828"/>
      <c r="H212" s="1829"/>
      <c r="I212" s="1829"/>
      <c r="J212" s="1829"/>
      <c r="K212" s="1829"/>
      <c r="L212" s="1830"/>
      <c r="M212" s="1829"/>
      <c r="N212" s="1831"/>
      <c r="O212" s="1831"/>
      <c r="P212" s="1832">
        <f>SUM(P213:P220)</f>
        <v>5000000</v>
      </c>
      <c r="Q212" s="1833">
        <f>P212</f>
        <v>5000000</v>
      </c>
      <c r="R212" s="1833">
        <v>5000000</v>
      </c>
      <c r="S212" s="1834">
        <f>+Q212-R212</f>
        <v>0</v>
      </c>
      <c r="T212" s="1835">
        <f>+S212/R212</f>
        <v>0</v>
      </c>
    </row>
    <row r="213" spans="1:23" ht="14.45" customHeight="1">
      <c r="A213" s="778"/>
      <c r="B213" s="786"/>
      <c r="C213" s="792"/>
      <c r="D213" s="1010"/>
      <c r="E213" s="786"/>
      <c r="F213" s="1851" t="s">
        <v>2705</v>
      </c>
      <c r="G213" s="1850">
        <v>800000</v>
      </c>
      <c r="H213" s="1431"/>
      <c r="I213" s="1946">
        <v>1</v>
      </c>
      <c r="J213" s="1431"/>
      <c r="K213" s="1947"/>
      <c r="L213" s="1837"/>
      <c r="M213" s="1433"/>
      <c r="N213" s="1436"/>
      <c r="O213" s="1436" t="s">
        <v>2706</v>
      </c>
      <c r="P213" s="1437">
        <f>G213*I213</f>
        <v>800000</v>
      </c>
      <c r="Q213" s="1438"/>
      <c r="R213" s="1438"/>
      <c r="S213" s="1439"/>
      <c r="T213" s="1440"/>
    </row>
    <row r="214" spans="1:23" ht="14.45" customHeight="1">
      <c r="A214" s="778"/>
      <c r="B214" s="786"/>
      <c r="C214" s="792"/>
      <c r="D214" s="1010"/>
      <c r="E214" s="786"/>
      <c r="F214" s="1851" t="s">
        <v>2707</v>
      </c>
      <c r="G214" s="1850">
        <v>1500000</v>
      </c>
      <c r="H214" s="1431"/>
      <c r="I214" s="1946">
        <v>1</v>
      </c>
      <c r="J214" s="1431"/>
      <c r="K214" s="1947"/>
      <c r="L214" s="1837"/>
      <c r="M214" s="1433"/>
      <c r="N214" s="1436"/>
      <c r="O214" s="1436" t="s">
        <v>2706</v>
      </c>
      <c r="P214" s="1437">
        <f t="shared" ref="P214:P220" si="8">G214*I214</f>
        <v>1500000</v>
      </c>
      <c r="Q214" s="1438"/>
      <c r="R214" s="1438"/>
      <c r="S214" s="1439"/>
      <c r="T214" s="1440"/>
    </row>
    <row r="215" spans="1:23" ht="14.45" customHeight="1">
      <c r="A215" s="778"/>
      <c r="B215" s="786"/>
      <c r="C215" s="792"/>
      <c r="D215" s="1010"/>
      <c r="E215" s="786"/>
      <c r="F215" s="1851" t="s">
        <v>2708</v>
      </c>
      <c r="G215" s="1850">
        <v>200000</v>
      </c>
      <c r="H215" s="1431"/>
      <c r="I215" s="1946">
        <v>1</v>
      </c>
      <c r="J215" s="1431"/>
      <c r="K215" s="1946"/>
      <c r="L215" s="1837"/>
      <c r="M215" s="1433"/>
      <c r="N215" s="1436"/>
      <c r="O215" s="1436" t="s">
        <v>1781</v>
      </c>
      <c r="P215" s="1437">
        <f t="shared" si="8"/>
        <v>200000</v>
      </c>
      <c r="Q215" s="1438"/>
      <c r="R215" s="1438"/>
      <c r="S215" s="1439"/>
      <c r="T215" s="1440"/>
    </row>
    <row r="216" spans="1:23" ht="14.45" customHeight="1">
      <c r="A216" s="778"/>
      <c r="B216" s="786"/>
      <c r="C216" s="792"/>
      <c r="D216" s="1010"/>
      <c r="E216" s="786"/>
      <c r="F216" s="1851" t="s">
        <v>2709</v>
      </c>
      <c r="G216" s="1850">
        <v>300000</v>
      </c>
      <c r="H216" s="1431"/>
      <c r="I216" s="1946">
        <v>1</v>
      </c>
      <c r="J216" s="1431"/>
      <c r="K216" s="1946"/>
      <c r="L216" s="1837"/>
      <c r="M216" s="1433"/>
      <c r="N216" s="1436"/>
      <c r="O216" s="1436" t="s">
        <v>1781</v>
      </c>
      <c r="P216" s="1437">
        <f t="shared" si="8"/>
        <v>300000</v>
      </c>
      <c r="Q216" s="1438"/>
      <c r="R216" s="1438"/>
      <c r="S216" s="1439"/>
      <c r="T216" s="1440"/>
    </row>
    <row r="217" spans="1:23" ht="14.45" customHeight="1">
      <c r="A217" s="778"/>
      <c r="B217" s="786"/>
      <c r="C217" s="792"/>
      <c r="D217" s="1010"/>
      <c r="E217" s="786"/>
      <c r="F217" s="1851" t="s">
        <v>2710</v>
      </c>
      <c r="G217" s="1850">
        <v>500000</v>
      </c>
      <c r="H217" s="1431"/>
      <c r="I217" s="1946">
        <v>1</v>
      </c>
      <c r="J217" s="1431"/>
      <c r="K217" s="1946"/>
      <c r="L217" s="1837"/>
      <c r="M217" s="1433"/>
      <c r="N217" s="1436"/>
      <c r="O217" s="1436" t="s">
        <v>2711</v>
      </c>
      <c r="P217" s="1437">
        <f t="shared" si="8"/>
        <v>500000</v>
      </c>
      <c r="Q217" s="1438"/>
      <c r="R217" s="1438"/>
      <c r="S217" s="1439"/>
      <c r="T217" s="1440"/>
    </row>
    <row r="218" spans="1:23" ht="14.45" customHeight="1">
      <c r="A218" s="778"/>
      <c r="B218" s="786"/>
      <c r="C218" s="792"/>
      <c r="D218" s="1010"/>
      <c r="E218" s="786"/>
      <c r="F218" s="1851" t="s">
        <v>2712</v>
      </c>
      <c r="G218" s="1850">
        <v>1500000</v>
      </c>
      <c r="H218" s="1431"/>
      <c r="I218" s="1946">
        <v>1</v>
      </c>
      <c r="J218" s="1431"/>
      <c r="K218" s="1946"/>
      <c r="L218" s="1837"/>
      <c r="M218" s="1433"/>
      <c r="N218" s="1436"/>
      <c r="O218" s="1436" t="s">
        <v>2706</v>
      </c>
      <c r="P218" s="1437">
        <f t="shared" si="8"/>
        <v>1500000</v>
      </c>
      <c r="Q218" s="1438"/>
      <c r="R218" s="1438"/>
      <c r="S218" s="1439"/>
      <c r="T218" s="1440"/>
    </row>
    <row r="219" spans="1:23" ht="14.45" customHeight="1">
      <c r="A219" s="778"/>
      <c r="B219" s="786"/>
      <c r="C219" s="792"/>
      <c r="D219" s="1010"/>
      <c r="E219" s="786"/>
      <c r="F219" s="1851" t="s">
        <v>2713</v>
      </c>
      <c r="G219" s="1850">
        <v>100000</v>
      </c>
      <c r="H219" s="1431"/>
      <c r="I219" s="1946">
        <v>1</v>
      </c>
      <c r="J219" s="1431"/>
      <c r="K219" s="1946"/>
      <c r="L219" s="1837"/>
      <c r="M219" s="1433"/>
      <c r="N219" s="1436"/>
      <c r="O219" s="1436" t="s">
        <v>2706</v>
      </c>
      <c r="P219" s="1437">
        <f t="shared" si="8"/>
        <v>100000</v>
      </c>
      <c r="Q219" s="1438"/>
      <c r="R219" s="1438"/>
      <c r="S219" s="1439"/>
      <c r="T219" s="1440"/>
    </row>
    <row r="220" spans="1:23" ht="14.45" customHeight="1">
      <c r="A220" s="778"/>
      <c r="B220" s="786"/>
      <c r="C220" s="792"/>
      <c r="D220" s="1010"/>
      <c r="E220" s="786"/>
      <c r="F220" s="3534" t="s">
        <v>2714</v>
      </c>
      <c r="G220" s="1850">
        <v>100000</v>
      </c>
      <c r="H220" s="1431"/>
      <c r="I220" s="1946">
        <v>1</v>
      </c>
      <c r="J220" s="1431"/>
      <c r="K220" s="1946"/>
      <c r="L220" s="1837"/>
      <c r="M220" s="1433"/>
      <c r="N220" s="1436"/>
      <c r="O220" s="1436" t="s">
        <v>2711</v>
      </c>
      <c r="P220" s="1437">
        <f t="shared" si="8"/>
        <v>100000</v>
      </c>
      <c r="Q220" s="1438"/>
      <c r="R220" s="1438"/>
      <c r="S220" s="1439"/>
      <c r="T220" s="1440"/>
    </row>
    <row r="221" spans="1:23" ht="14.1" customHeight="1">
      <c r="A221" s="778"/>
      <c r="B221" s="786"/>
      <c r="C221" s="1010"/>
      <c r="D221" s="1010"/>
      <c r="E221" s="786"/>
      <c r="F221" s="1827" t="s">
        <v>1815</v>
      </c>
      <c r="G221" s="1828"/>
      <c r="H221" s="1829"/>
      <c r="I221" s="1829"/>
      <c r="J221" s="1829"/>
      <c r="K221" s="1829"/>
      <c r="L221" s="1830"/>
      <c r="M221" s="1829"/>
      <c r="N221" s="1831"/>
      <c r="O221" s="1831" t="s">
        <v>1605</v>
      </c>
      <c r="P221" s="1832">
        <f>SUM(P222:P222)</f>
        <v>2400000</v>
      </c>
      <c r="Q221" s="1833">
        <f>P221</f>
        <v>2400000</v>
      </c>
      <c r="R221" s="1833">
        <v>0</v>
      </c>
      <c r="S221" s="1834">
        <f>+Q221-R221</f>
        <v>2400000</v>
      </c>
      <c r="T221" s="1835"/>
    </row>
    <row r="222" spans="1:23" ht="13.5" customHeight="1">
      <c r="A222" s="778"/>
      <c r="B222" s="786"/>
      <c r="C222" s="1010"/>
      <c r="D222" s="786"/>
      <c r="E222" s="786"/>
      <c r="F222" s="1841" t="s">
        <v>2702</v>
      </c>
      <c r="G222" s="1852">
        <v>480000</v>
      </c>
      <c r="H222" s="1826" t="s">
        <v>21</v>
      </c>
      <c r="I222" s="1872">
        <v>5</v>
      </c>
      <c r="J222" s="1826"/>
      <c r="K222" s="1874"/>
      <c r="L222" s="1875"/>
      <c r="M222" s="1874"/>
      <c r="N222" s="1855"/>
      <c r="O222" s="1855" t="s">
        <v>22</v>
      </c>
      <c r="P222" s="1839">
        <f>G222*I222</f>
        <v>2400000</v>
      </c>
      <c r="Q222" s="1876"/>
      <c r="R222" s="1876"/>
      <c r="S222" s="1877"/>
      <c r="T222" s="1878"/>
    </row>
    <row r="223" spans="1:23" ht="14.45" customHeight="1">
      <c r="A223" s="778"/>
      <c r="B223" s="786"/>
      <c r="C223" s="792"/>
      <c r="D223" s="1010"/>
      <c r="E223" s="786"/>
      <c r="F223" s="1827" t="s">
        <v>1873</v>
      </c>
      <c r="G223" s="1828"/>
      <c r="H223" s="1829"/>
      <c r="I223" s="1829"/>
      <c r="J223" s="1829"/>
      <c r="K223" s="1829"/>
      <c r="L223" s="1830"/>
      <c r="M223" s="1829"/>
      <c r="N223" s="1831"/>
      <c r="O223" s="1831"/>
      <c r="P223" s="1832">
        <f>SUM(P224:P227)</f>
        <v>30000000</v>
      </c>
      <c r="Q223" s="1833">
        <f>P223</f>
        <v>30000000</v>
      </c>
      <c r="R223" s="1833">
        <v>30000000</v>
      </c>
      <c r="S223" s="1834">
        <f>+Q223-R223</f>
        <v>0</v>
      </c>
      <c r="T223" s="1835">
        <f>+S223/R223</f>
        <v>0</v>
      </c>
    </row>
    <row r="224" spans="1:23" ht="14.45" customHeight="1">
      <c r="A224" s="778"/>
      <c r="B224" s="786"/>
      <c r="C224" s="792"/>
      <c r="D224" s="1010"/>
      <c r="E224" s="786"/>
      <c r="F224" s="1851" t="s">
        <v>2715</v>
      </c>
      <c r="G224" s="1850">
        <v>500000</v>
      </c>
      <c r="H224" s="1431" t="s">
        <v>21</v>
      </c>
      <c r="I224" s="1948">
        <v>30</v>
      </c>
      <c r="J224" s="1431" t="s">
        <v>21</v>
      </c>
      <c r="K224" s="1946">
        <v>1</v>
      </c>
      <c r="L224" s="1837"/>
      <c r="M224" s="1433"/>
      <c r="N224" s="1436"/>
      <c r="O224" s="1436" t="s">
        <v>2706</v>
      </c>
      <c r="P224" s="1437">
        <f>G224*I224*K224</f>
        <v>15000000</v>
      </c>
      <c r="Q224" s="1438"/>
      <c r="R224" s="1438"/>
      <c r="S224" s="1439"/>
      <c r="T224" s="1440"/>
    </row>
    <row r="225" spans="1:20" ht="14.45" customHeight="1">
      <c r="A225" s="778"/>
      <c r="B225" s="786"/>
      <c r="C225" s="792"/>
      <c r="D225" s="1010"/>
      <c r="E225" s="786"/>
      <c r="F225" s="1851" t="s">
        <v>2716</v>
      </c>
      <c r="G225" s="1850">
        <v>1000000</v>
      </c>
      <c r="H225" s="1431" t="s">
        <v>21</v>
      </c>
      <c r="I225" s="1946">
        <v>1</v>
      </c>
      <c r="J225" s="1431"/>
      <c r="K225" s="1946"/>
      <c r="L225" s="1837"/>
      <c r="M225" s="1433"/>
      <c r="N225" s="1436"/>
      <c r="O225" s="1436" t="s">
        <v>1781</v>
      </c>
      <c r="P225" s="1437">
        <f>G225*I225</f>
        <v>1000000</v>
      </c>
      <c r="Q225" s="1438"/>
      <c r="R225" s="1438"/>
      <c r="S225" s="1439"/>
      <c r="T225" s="1440"/>
    </row>
    <row r="226" spans="1:20" ht="14.45" customHeight="1">
      <c r="A226" s="778"/>
      <c r="B226" s="786"/>
      <c r="C226" s="792"/>
      <c r="D226" s="1010"/>
      <c r="E226" s="786"/>
      <c r="F226" s="3534" t="s">
        <v>3192</v>
      </c>
      <c r="G226" s="1850">
        <v>1000000</v>
      </c>
      <c r="H226" s="1431" t="s">
        <v>21</v>
      </c>
      <c r="I226" s="1946">
        <v>1</v>
      </c>
      <c r="J226" s="1431"/>
      <c r="K226" s="1946"/>
      <c r="L226" s="1837"/>
      <c r="M226" s="1433"/>
      <c r="N226" s="1436"/>
      <c r="O226" s="1436" t="s">
        <v>1781</v>
      </c>
      <c r="P226" s="1437">
        <f t="shared" ref="P226:P227" si="9">G226*I226</f>
        <v>1000000</v>
      </c>
      <c r="Q226" s="1438"/>
      <c r="R226" s="1438"/>
      <c r="S226" s="1439"/>
      <c r="T226" s="1440"/>
    </row>
    <row r="227" spans="1:20" ht="14.45" customHeight="1">
      <c r="A227" s="778"/>
      <c r="B227" s="786"/>
      <c r="C227" s="792"/>
      <c r="D227" s="1010"/>
      <c r="E227" s="786"/>
      <c r="F227" s="1851" t="s">
        <v>2717</v>
      </c>
      <c r="G227" s="1850">
        <v>13000000</v>
      </c>
      <c r="H227" s="1431" t="s">
        <v>21</v>
      </c>
      <c r="I227" s="1946">
        <v>1</v>
      </c>
      <c r="J227" s="1431"/>
      <c r="K227" s="1946"/>
      <c r="L227" s="1837"/>
      <c r="M227" s="1433"/>
      <c r="N227" s="1436"/>
      <c r="O227" s="1436" t="s">
        <v>2706</v>
      </c>
      <c r="P227" s="1437">
        <f t="shared" si="9"/>
        <v>13000000</v>
      </c>
      <c r="Q227" s="1438"/>
      <c r="R227" s="1438"/>
      <c r="S227" s="1439"/>
      <c r="T227" s="1440"/>
    </row>
    <row r="228" spans="1:20" ht="14.45" customHeight="1">
      <c r="A228" s="778"/>
      <c r="B228" s="786"/>
      <c r="C228" s="792"/>
      <c r="D228" s="1010"/>
      <c r="E228" s="786"/>
      <c r="F228" s="1827" t="s">
        <v>1874</v>
      </c>
      <c r="G228" s="1828"/>
      <c r="H228" s="1829"/>
      <c r="I228" s="1829"/>
      <c r="J228" s="1829"/>
      <c r="K228" s="1829"/>
      <c r="L228" s="1830"/>
      <c r="M228" s="1829"/>
      <c r="N228" s="1831"/>
      <c r="O228" s="1831"/>
      <c r="P228" s="1832">
        <f>SUM(P229:P233)</f>
        <v>5000000</v>
      </c>
      <c r="Q228" s="1833">
        <f>P228</f>
        <v>5000000</v>
      </c>
      <c r="R228" s="1833">
        <v>10000000</v>
      </c>
      <c r="S228" s="1834">
        <f>+Q228-R228</f>
        <v>-5000000</v>
      </c>
      <c r="T228" s="1835">
        <f>+S228/R228</f>
        <v>-0.5</v>
      </c>
    </row>
    <row r="229" spans="1:20" ht="14.45" customHeight="1">
      <c r="A229" s="778"/>
      <c r="B229" s="786"/>
      <c r="C229" s="792"/>
      <c r="D229" s="1010"/>
      <c r="E229" s="786"/>
      <c r="F229" s="1851" t="s">
        <v>2720</v>
      </c>
      <c r="G229" s="1850">
        <v>300000</v>
      </c>
      <c r="H229" s="1431" t="s">
        <v>21</v>
      </c>
      <c r="I229" s="1946">
        <v>1</v>
      </c>
      <c r="J229" s="1431"/>
      <c r="K229" s="1433"/>
      <c r="L229" s="1837"/>
      <c r="M229" s="1433"/>
      <c r="N229" s="1436"/>
      <c r="O229" s="1436" t="s">
        <v>2706</v>
      </c>
      <c r="P229" s="1437">
        <f>G229*I229</f>
        <v>300000</v>
      </c>
      <c r="Q229" s="1438"/>
      <c r="R229" s="1438"/>
      <c r="S229" s="1439"/>
      <c r="T229" s="1440"/>
    </row>
    <row r="230" spans="1:20" ht="14.45" customHeight="1">
      <c r="A230" s="778"/>
      <c r="B230" s="786"/>
      <c r="C230" s="792"/>
      <c r="D230" s="1010"/>
      <c r="E230" s="786"/>
      <c r="F230" s="1851" t="s">
        <v>2721</v>
      </c>
      <c r="G230" s="1850">
        <v>1100000</v>
      </c>
      <c r="H230" s="1431" t="s">
        <v>21</v>
      </c>
      <c r="I230" s="1946">
        <v>1</v>
      </c>
      <c r="J230" s="1431"/>
      <c r="K230" s="1433"/>
      <c r="L230" s="1837"/>
      <c r="M230" s="1433"/>
      <c r="N230" s="1436"/>
      <c r="O230" s="1436" t="s">
        <v>2412</v>
      </c>
      <c r="P230" s="1437">
        <f>G230*I230</f>
        <v>1100000</v>
      </c>
      <c r="Q230" s="1438"/>
      <c r="R230" s="1438"/>
      <c r="S230" s="1439"/>
      <c r="T230" s="1440"/>
    </row>
    <row r="231" spans="1:20" ht="14.45" customHeight="1">
      <c r="A231" s="778"/>
      <c r="B231" s="786"/>
      <c r="C231" s="792"/>
      <c r="D231" s="1010"/>
      <c r="E231" s="786"/>
      <c r="F231" s="1851" t="s">
        <v>2722</v>
      </c>
      <c r="G231" s="1850">
        <v>3000000</v>
      </c>
      <c r="H231" s="1431" t="s">
        <v>21</v>
      </c>
      <c r="I231" s="1946">
        <v>1</v>
      </c>
      <c r="J231" s="1431"/>
      <c r="K231" s="1433"/>
      <c r="L231" s="1837"/>
      <c r="M231" s="1433"/>
      <c r="N231" s="1436"/>
      <c r="O231" s="1436" t="s">
        <v>2412</v>
      </c>
      <c r="P231" s="1437">
        <f>G231*I231</f>
        <v>3000000</v>
      </c>
      <c r="Q231" s="1438"/>
      <c r="R231" s="1438"/>
      <c r="S231" s="1439"/>
      <c r="T231" s="1440"/>
    </row>
    <row r="232" spans="1:20" ht="14.45" customHeight="1">
      <c r="A232" s="778"/>
      <c r="B232" s="786"/>
      <c r="C232" s="792"/>
      <c r="D232" s="1010"/>
      <c r="E232" s="786"/>
      <c r="F232" s="1851" t="s">
        <v>2723</v>
      </c>
      <c r="G232" s="1850">
        <v>500000</v>
      </c>
      <c r="H232" s="1431" t="s">
        <v>21</v>
      </c>
      <c r="I232" s="1946">
        <v>1</v>
      </c>
      <c r="J232" s="1431"/>
      <c r="K232" s="1433"/>
      <c r="L232" s="1837"/>
      <c r="M232" s="1433"/>
      <c r="N232" s="1436"/>
      <c r="O232" s="1436" t="s">
        <v>2412</v>
      </c>
      <c r="P232" s="1437">
        <f>G232*I232</f>
        <v>500000</v>
      </c>
      <c r="Q232" s="1438"/>
      <c r="R232" s="1438"/>
      <c r="S232" s="1439"/>
      <c r="T232" s="1440"/>
    </row>
    <row r="233" spans="1:20" ht="14.45" customHeight="1">
      <c r="A233" s="778"/>
      <c r="B233" s="786"/>
      <c r="C233" s="792"/>
      <c r="D233" s="1010"/>
      <c r="E233" s="786"/>
      <c r="F233" s="1851" t="s">
        <v>2724</v>
      </c>
      <c r="G233" s="1850">
        <v>100000</v>
      </c>
      <c r="H233" s="1431" t="s">
        <v>21</v>
      </c>
      <c r="I233" s="1946">
        <v>1</v>
      </c>
      <c r="J233" s="1431"/>
      <c r="K233" s="1433"/>
      <c r="L233" s="1837"/>
      <c r="M233" s="1433"/>
      <c r="N233" s="1436"/>
      <c r="O233" s="1436" t="s">
        <v>2412</v>
      </c>
      <c r="P233" s="1437">
        <f>G233*I233</f>
        <v>100000</v>
      </c>
      <c r="Q233" s="1438"/>
      <c r="R233" s="1438"/>
      <c r="S233" s="1439"/>
      <c r="T233" s="1440"/>
    </row>
    <row r="234" spans="1:20" ht="14.45" customHeight="1">
      <c r="A234" s="778"/>
      <c r="B234" s="786"/>
      <c r="C234" s="792"/>
      <c r="D234" s="1010"/>
      <c r="E234" s="786"/>
      <c r="F234" s="1827" t="s">
        <v>1875</v>
      </c>
      <c r="G234" s="1828" t="s">
        <v>1799</v>
      </c>
      <c r="H234" s="1829"/>
      <c r="I234" s="1829"/>
      <c r="J234" s="1829"/>
      <c r="K234" s="1829"/>
      <c r="L234" s="1830"/>
      <c r="M234" s="1829"/>
      <c r="N234" s="1831"/>
      <c r="O234" s="1831"/>
      <c r="P234" s="1832">
        <f>SUM(P235:P237)</f>
        <v>2000000</v>
      </c>
      <c r="Q234" s="1833">
        <f>P234</f>
        <v>2000000</v>
      </c>
      <c r="R234" s="1833">
        <v>2000000</v>
      </c>
      <c r="S234" s="1834">
        <f>+Q234-R234</f>
        <v>0</v>
      </c>
      <c r="T234" s="1835">
        <f>+S234/R234</f>
        <v>0</v>
      </c>
    </row>
    <row r="235" spans="1:20" ht="14.45" customHeight="1">
      <c r="A235" s="778"/>
      <c r="B235" s="786"/>
      <c r="C235" s="792"/>
      <c r="D235" s="1010"/>
      <c r="E235" s="786"/>
      <c r="F235" s="1851" t="s">
        <v>2725</v>
      </c>
      <c r="G235" s="1850">
        <v>200000</v>
      </c>
      <c r="H235" s="1431" t="s">
        <v>21</v>
      </c>
      <c r="I235" s="1871">
        <v>1</v>
      </c>
      <c r="J235" s="1431"/>
      <c r="K235" s="1433"/>
      <c r="L235" s="1837"/>
      <c r="M235" s="1433"/>
      <c r="N235" s="1436"/>
      <c r="O235" s="1436" t="s">
        <v>2719</v>
      </c>
      <c r="P235" s="1437">
        <f>G235*I235</f>
        <v>200000</v>
      </c>
      <c r="Q235" s="1438"/>
      <c r="R235" s="1438"/>
      <c r="S235" s="1439"/>
      <c r="T235" s="1440"/>
    </row>
    <row r="236" spans="1:20" ht="14.45" customHeight="1">
      <c r="A236" s="778"/>
      <c r="B236" s="786"/>
      <c r="C236" s="792"/>
      <c r="D236" s="1010"/>
      <c r="E236" s="786"/>
      <c r="F236" s="1851" t="s">
        <v>2726</v>
      </c>
      <c r="G236" s="1850">
        <v>800000</v>
      </c>
      <c r="H236" s="1431" t="s">
        <v>21</v>
      </c>
      <c r="I236" s="1871">
        <v>1</v>
      </c>
      <c r="J236" s="1431"/>
      <c r="K236" s="1433"/>
      <c r="L236" s="1837"/>
      <c r="M236" s="1433"/>
      <c r="N236" s="1436"/>
      <c r="O236" s="1436" t="s">
        <v>2719</v>
      </c>
      <c r="P236" s="1437">
        <f t="shared" ref="P236:P237" si="10">G236*I236</f>
        <v>800000</v>
      </c>
      <c r="Q236" s="1438"/>
      <c r="R236" s="1438"/>
      <c r="S236" s="1439"/>
      <c r="T236" s="1440"/>
    </row>
    <row r="237" spans="1:20" ht="14.45" customHeight="1">
      <c r="A237" s="778"/>
      <c r="B237" s="786"/>
      <c r="C237" s="792"/>
      <c r="D237" s="1010"/>
      <c r="E237" s="786"/>
      <c r="F237" s="3534" t="s">
        <v>2727</v>
      </c>
      <c r="G237" s="1850">
        <v>1000000</v>
      </c>
      <c r="H237" s="1431" t="s">
        <v>21</v>
      </c>
      <c r="I237" s="1871">
        <v>1</v>
      </c>
      <c r="J237" s="1431"/>
      <c r="K237" s="1433"/>
      <c r="L237" s="1837"/>
      <c r="M237" s="1433"/>
      <c r="N237" s="1436"/>
      <c r="O237" s="1436" t="s">
        <v>2719</v>
      </c>
      <c r="P237" s="1437">
        <f t="shared" si="10"/>
        <v>1000000</v>
      </c>
      <c r="Q237" s="1438"/>
      <c r="R237" s="1438"/>
      <c r="S237" s="1439"/>
      <c r="T237" s="1440"/>
    </row>
    <row r="238" spans="1:20" ht="14.45" customHeight="1">
      <c r="A238" s="778"/>
      <c r="B238" s="786"/>
      <c r="C238" s="792"/>
      <c r="D238" s="1010"/>
      <c r="E238" s="786"/>
      <c r="F238" s="1827" t="s">
        <v>1876</v>
      </c>
      <c r="G238" s="1828"/>
      <c r="H238" s="1829"/>
      <c r="I238" s="1829"/>
      <c r="J238" s="1829"/>
      <c r="K238" s="1829"/>
      <c r="L238" s="1830"/>
      <c r="M238" s="1829"/>
      <c r="N238" s="1831"/>
      <c r="O238" s="1831"/>
      <c r="P238" s="1832">
        <f>SUM(P239:P241)</f>
        <v>6000000</v>
      </c>
      <c r="Q238" s="1833">
        <f>P238</f>
        <v>6000000</v>
      </c>
      <c r="R238" s="1833">
        <v>6000000</v>
      </c>
      <c r="S238" s="1834">
        <f>+Q238-R238</f>
        <v>0</v>
      </c>
      <c r="T238" s="1835">
        <f>+S238/R238</f>
        <v>0</v>
      </c>
    </row>
    <row r="239" spans="1:20" ht="14.45" customHeight="1">
      <c r="A239" s="778"/>
      <c r="B239" s="786"/>
      <c r="C239" s="792"/>
      <c r="D239" s="1010"/>
      <c r="E239" s="786"/>
      <c r="F239" s="1851" t="s">
        <v>2728</v>
      </c>
      <c r="G239" s="1850">
        <v>5500000</v>
      </c>
      <c r="H239" s="1431" t="s">
        <v>21</v>
      </c>
      <c r="I239" s="1871">
        <v>1</v>
      </c>
      <c r="J239" s="1431"/>
      <c r="K239" s="1433"/>
      <c r="L239" s="1837"/>
      <c r="M239" s="1433"/>
      <c r="N239" s="1436"/>
      <c r="O239" s="1436" t="s">
        <v>1037</v>
      </c>
      <c r="P239" s="1437">
        <f>G239*I239</f>
        <v>5500000</v>
      </c>
      <c r="Q239" s="1438"/>
      <c r="R239" s="1438"/>
      <c r="S239" s="1439"/>
      <c r="T239" s="1440"/>
    </row>
    <row r="240" spans="1:20" ht="14.45" customHeight="1">
      <c r="A240" s="778"/>
      <c r="B240" s="786"/>
      <c r="C240" s="792"/>
      <c r="D240" s="1010"/>
      <c r="E240" s="786"/>
      <c r="F240" s="1851" t="s">
        <v>2729</v>
      </c>
      <c r="G240" s="1850">
        <v>400000</v>
      </c>
      <c r="H240" s="1431" t="s">
        <v>21</v>
      </c>
      <c r="I240" s="1871">
        <v>1</v>
      </c>
      <c r="J240" s="1431"/>
      <c r="K240" s="1433"/>
      <c r="L240" s="1837"/>
      <c r="M240" s="1433"/>
      <c r="N240" s="1436"/>
      <c r="O240" s="1436" t="s">
        <v>2706</v>
      </c>
      <c r="P240" s="1437">
        <f>G240*I240</f>
        <v>400000</v>
      </c>
      <c r="Q240" s="1438"/>
      <c r="R240" s="1438"/>
      <c r="S240" s="1439"/>
      <c r="T240" s="1440"/>
    </row>
    <row r="241" spans="1:20" ht="14.45" customHeight="1">
      <c r="A241" s="1130"/>
      <c r="B241" s="846"/>
      <c r="C241" s="780"/>
      <c r="D241" s="779"/>
      <c r="E241" s="846"/>
      <c r="F241" s="1950" t="s">
        <v>2730</v>
      </c>
      <c r="G241" s="1951">
        <v>100000</v>
      </c>
      <c r="H241" s="1908" t="s">
        <v>21</v>
      </c>
      <c r="I241" s="1952">
        <v>1</v>
      </c>
      <c r="J241" s="1908"/>
      <c r="K241" s="1909"/>
      <c r="L241" s="1910"/>
      <c r="M241" s="1909"/>
      <c r="N241" s="1911"/>
      <c r="O241" s="1911" t="s">
        <v>2706</v>
      </c>
      <c r="P241" s="1912">
        <f>G241*I241</f>
        <v>100000</v>
      </c>
      <c r="Q241" s="1913"/>
      <c r="R241" s="1913"/>
      <c r="S241" s="1914"/>
      <c r="T241" s="1915"/>
    </row>
    <row r="242" spans="1:20" ht="14.45" customHeight="1">
      <c r="A242" s="778"/>
      <c r="B242" s="786"/>
      <c r="C242" s="792"/>
      <c r="D242" s="1010"/>
      <c r="E242" s="786"/>
      <c r="F242" s="1827" t="s">
        <v>1877</v>
      </c>
      <c r="G242" s="1828"/>
      <c r="H242" s="1829"/>
      <c r="I242" s="1829"/>
      <c r="J242" s="1829"/>
      <c r="K242" s="1829"/>
      <c r="L242" s="1830"/>
      <c r="M242" s="1829"/>
      <c r="N242" s="1831"/>
      <c r="O242" s="1831"/>
      <c r="P242" s="1832">
        <f>SUM(P243:P244)</f>
        <v>1500000</v>
      </c>
      <c r="Q242" s="1833">
        <f>P242</f>
        <v>1500000</v>
      </c>
      <c r="R242" s="1833">
        <v>500000</v>
      </c>
      <c r="S242" s="1834">
        <f>+Q242-R242</f>
        <v>1000000</v>
      </c>
      <c r="T242" s="1835">
        <f>+S242/R242</f>
        <v>2</v>
      </c>
    </row>
    <row r="243" spans="1:20" ht="14.45" customHeight="1">
      <c r="A243" s="778"/>
      <c r="B243" s="786"/>
      <c r="C243" s="792"/>
      <c r="D243" s="1010"/>
      <c r="E243" s="786"/>
      <c r="F243" s="1851" t="s">
        <v>2731</v>
      </c>
      <c r="G243" s="1850">
        <v>900000</v>
      </c>
      <c r="H243" s="1431" t="s">
        <v>21</v>
      </c>
      <c r="I243" s="1871">
        <v>1</v>
      </c>
      <c r="J243" s="1431"/>
      <c r="K243" s="1433"/>
      <c r="L243" s="1837"/>
      <c r="M243" s="1433"/>
      <c r="N243" s="1436"/>
      <c r="O243" s="1436" t="s">
        <v>2706</v>
      </c>
      <c r="P243" s="1437">
        <f>G243*I243</f>
        <v>900000</v>
      </c>
      <c r="Q243" s="1438"/>
      <c r="R243" s="1438"/>
      <c r="S243" s="1439"/>
      <c r="T243" s="1440"/>
    </row>
    <row r="244" spans="1:20" ht="14.45" customHeight="1">
      <c r="A244" s="778"/>
      <c r="B244" s="786"/>
      <c r="C244" s="792"/>
      <c r="D244" s="1010"/>
      <c r="E244" s="786"/>
      <c r="F244" s="3534" t="s">
        <v>3193</v>
      </c>
      <c r="G244" s="1850">
        <v>600000</v>
      </c>
      <c r="H244" s="1431" t="s">
        <v>21</v>
      </c>
      <c r="I244" s="1871">
        <v>1</v>
      </c>
      <c r="J244" s="1431"/>
      <c r="K244" s="1433"/>
      <c r="L244" s="1837"/>
      <c r="M244" s="1433"/>
      <c r="N244" s="1436"/>
      <c r="O244" s="1436" t="s">
        <v>2706</v>
      </c>
      <c r="P244" s="1437">
        <f>G244*I244</f>
        <v>600000</v>
      </c>
      <c r="Q244" s="1438"/>
      <c r="R244" s="1438"/>
      <c r="S244" s="1439"/>
      <c r="T244" s="1440"/>
    </row>
    <row r="245" spans="1:20" ht="14.45" customHeight="1">
      <c r="A245" s="778"/>
      <c r="B245" s="786"/>
      <c r="C245" s="792"/>
      <c r="D245" s="1010"/>
      <c r="E245" s="786"/>
      <c r="F245" s="1827" t="s">
        <v>2960</v>
      </c>
      <c r="G245" s="1828"/>
      <c r="H245" s="1829"/>
      <c r="I245" s="1829"/>
      <c r="J245" s="1829"/>
      <c r="K245" s="1829"/>
      <c r="L245" s="1830"/>
      <c r="M245" s="1829"/>
      <c r="N245" s="1831"/>
      <c r="O245" s="1831"/>
      <c r="P245" s="1832">
        <f>SUM(P246:P249)</f>
        <v>20000000</v>
      </c>
      <c r="Q245" s="1833">
        <f>P245</f>
        <v>20000000</v>
      </c>
      <c r="R245" s="1833">
        <v>10000000</v>
      </c>
      <c r="S245" s="1834">
        <f>+Q245-R245</f>
        <v>10000000</v>
      </c>
      <c r="T245" s="1835">
        <f>+S245/R245</f>
        <v>1</v>
      </c>
    </row>
    <row r="246" spans="1:20" ht="14.45" customHeight="1">
      <c r="A246" s="778"/>
      <c r="B246" s="786"/>
      <c r="C246" s="792"/>
      <c r="D246" s="1010"/>
      <c r="E246" s="786"/>
      <c r="F246" s="1851" t="s">
        <v>2732</v>
      </c>
      <c r="G246" s="1850">
        <v>1000000</v>
      </c>
      <c r="H246" s="1431" t="s">
        <v>21</v>
      </c>
      <c r="I246" s="1949">
        <v>1</v>
      </c>
      <c r="J246" s="1431"/>
      <c r="K246" s="1433"/>
      <c r="L246" s="1837"/>
      <c r="M246" s="1433"/>
      <c r="N246" s="1436"/>
      <c r="O246" s="1436" t="s">
        <v>2733</v>
      </c>
      <c r="P246" s="1437">
        <f>G246*I246</f>
        <v>1000000</v>
      </c>
      <c r="Q246" s="1438"/>
      <c r="R246" s="1438"/>
      <c r="S246" s="1439"/>
      <c r="T246" s="1440"/>
    </row>
    <row r="247" spans="1:20" ht="14.45" customHeight="1">
      <c r="A247" s="778"/>
      <c r="B247" s="786"/>
      <c r="C247" s="792"/>
      <c r="D247" s="1010"/>
      <c r="E247" s="786"/>
      <c r="F247" s="1851" t="s">
        <v>2734</v>
      </c>
      <c r="G247" s="1850">
        <v>10000000</v>
      </c>
      <c r="H247" s="1431" t="s">
        <v>21</v>
      </c>
      <c r="I247" s="1949">
        <v>1</v>
      </c>
      <c r="J247" s="1431"/>
      <c r="K247" s="1433"/>
      <c r="L247" s="1837"/>
      <c r="M247" s="1433"/>
      <c r="N247" s="1436"/>
      <c r="O247" s="1436" t="s">
        <v>2735</v>
      </c>
      <c r="P247" s="1437">
        <f>G247*I247</f>
        <v>10000000</v>
      </c>
      <c r="Q247" s="1438"/>
      <c r="R247" s="1438"/>
      <c r="S247" s="1439"/>
      <c r="T247" s="1440"/>
    </row>
    <row r="248" spans="1:20" ht="14.45" customHeight="1">
      <c r="A248" s="778"/>
      <c r="B248" s="786"/>
      <c r="C248" s="792"/>
      <c r="D248" s="1010"/>
      <c r="E248" s="786"/>
      <c r="F248" s="3534" t="s">
        <v>3194</v>
      </c>
      <c r="G248" s="1850">
        <v>1000000</v>
      </c>
      <c r="H248" s="1431" t="s">
        <v>21</v>
      </c>
      <c r="I248" s="1949">
        <v>1</v>
      </c>
      <c r="J248" s="1431"/>
      <c r="K248" s="1433"/>
      <c r="L248" s="1837"/>
      <c r="M248" s="1433"/>
      <c r="N248" s="1436"/>
      <c r="O248" s="1436" t="s">
        <v>2736</v>
      </c>
      <c r="P248" s="1437">
        <f>G248*I248</f>
        <v>1000000</v>
      </c>
      <c r="Q248" s="1438"/>
      <c r="R248" s="1438"/>
      <c r="S248" s="1439"/>
      <c r="T248" s="1440"/>
    </row>
    <row r="249" spans="1:20" ht="14.25" customHeight="1">
      <c r="A249" s="778"/>
      <c r="B249" s="786"/>
      <c r="C249" s="792"/>
      <c r="D249" s="786"/>
      <c r="F249" s="1851" t="s">
        <v>2737</v>
      </c>
      <c r="G249" s="1850">
        <v>8000000</v>
      </c>
      <c r="H249" s="1431" t="s">
        <v>21</v>
      </c>
      <c r="I249" s="1949">
        <v>1</v>
      </c>
      <c r="J249" s="1431"/>
      <c r="K249" s="1433"/>
      <c r="L249" s="1837"/>
      <c r="M249" s="1433"/>
      <c r="N249" s="1436"/>
      <c r="O249" s="1436" t="s">
        <v>2735</v>
      </c>
      <c r="P249" s="1437">
        <f>G249*I249</f>
        <v>8000000</v>
      </c>
      <c r="Q249" s="1438"/>
      <c r="R249" s="1438"/>
      <c r="S249" s="1439"/>
      <c r="T249" s="1440"/>
    </row>
    <row r="250" spans="1:20" ht="14.25" customHeight="1">
      <c r="A250" s="778"/>
      <c r="B250" s="786"/>
      <c r="C250" s="792"/>
      <c r="D250" s="786"/>
      <c r="F250" s="1827" t="s">
        <v>2906</v>
      </c>
      <c r="G250" s="1828"/>
      <c r="H250" s="1829"/>
      <c r="I250" s="1829"/>
      <c r="J250" s="1829"/>
      <c r="K250" s="1829"/>
      <c r="L250" s="1830"/>
      <c r="M250" s="1829"/>
      <c r="N250" s="1831"/>
      <c r="O250" s="1831"/>
      <c r="P250" s="1832"/>
      <c r="Q250" s="1833">
        <f>P250</f>
        <v>0</v>
      </c>
      <c r="R250" s="1833">
        <v>2500000</v>
      </c>
      <c r="S250" s="1834">
        <f>+Q250-R250</f>
        <v>-2500000</v>
      </c>
      <c r="T250" s="1835">
        <f>+S250/R250</f>
        <v>-1</v>
      </c>
    </row>
    <row r="251" spans="1:20" ht="14.25" customHeight="1">
      <c r="A251" s="778"/>
      <c r="B251" s="786"/>
      <c r="C251" s="792"/>
      <c r="D251" s="786"/>
      <c r="F251" s="1827" t="s">
        <v>2907</v>
      </c>
      <c r="G251" s="1828"/>
      <c r="H251" s="1829"/>
      <c r="I251" s="1829"/>
      <c r="J251" s="1829"/>
      <c r="K251" s="1829"/>
      <c r="L251" s="1830"/>
      <c r="M251" s="1829"/>
      <c r="N251" s="1831"/>
      <c r="O251" s="1831"/>
      <c r="P251" s="1832"/>
      <c r="Q251" s="1833">
        <f>P251</f>
        <v>0</v>
      </c>
      <c r="R251" s="1833">
        <v>6000000</v>
      </c>
      <c r="S251" s="1834">
        <f>+Q251-R251</f>
        <v>-6000000</v>
      </c>
      <c r="T251" s="1835">
        <f>+S251/R251</f>
        <v>-1</v>
      </c>
    </row>
    <row r="252" spans="1:20" ht="14.25" customHeight="1">
      <c r="A252" s="778"/>
      <c r="B252" s="786"/>
      <c r="C252" s="792"/>
      <c r="D252" s="786"/>
      <c r="F252" s="1827" t="s">
        <v>2908</v>
      </c>
      <c r="G252" s="1828"/>
      <c r="H252" s="1829"/>
      <c r="I252" s="1829"/>
      <c r="J252" s="1829"/>
      <c r="K252" s="1829"/>
      <c r="L252" s="1830"/>
      <c r="M252" s="1829"/>
      <c r="N252" s="1831"/>
      <c r="O252" s="1831"/>
      <c r="P252" s="1832"/>
      <c r="Q252" s="1833">
        <f>P252</f>
        <v>0</v>
      </c>
      <c r="R252" s="1833">
        <v>3000000</v>
      </c>
      <c r="S252" s="1834">
        <f>+Q252-R252</f>
        <v>-3000000</v>
      </c>
      <c r="T252" s="1835">
        <f>+S252/R252</f>
        <v>-1</v>
      </c>
    </row>
    <row r="253" spans="1:20" ht="14.25" customHeight="1">
      <c r="A253" s="778"/>
      <c r="B253" s="786"/>
      <c r="C253" s="792"/>
      <c r="D253" s="786"/>
      <c r="F253" s="1827" t="s">
        <v>2912</v>
      </c>
      <c r="G253" s="1828"/>
      <c r="H253" s="1829"/>
      <c r="I253" s="1829"/>
      <c r="J253" s="1829"/>
      <c r="K253" s="1829"/>
      <c r="L253" s="1830"/>
      <c r="M253" s="1829"/>
      <c r="N253" s="1831"/>
      <c r="O253" s="1831"/>
      <c r="P253" s="1832"/>
      <c r="Q253" s="1833">
        <f>P253</f>
        <v>0</v>
      </c>
      <c r="R253" s="1833">
        <v>5000000</v>
      </c>
      <c r="S253" s="1834">
        <f>+Q253-R253</f>
        <v>-5000000</v>
      </c>
      <c r="T253" s="1835">
        <f>+S253/R253</f>
        <v>-1</v>
      </c>
    </row>
    <row r="254" spans="1:20" ht="14.25" customHeight="1">
      <c r="A254" s="778"/>
      <c r="B254" s="786"/>
      <c r="C254" s="792"/>
      <c r="D254" s="786"/>
      <c r="F254" s="1827" t="s">
        <v>2913</v>
      </c>
      <c r="G254" s="1828"/>
      <c r="H254" s="1829"/>
      <c r="I254" s="1829"/>
      <c r="J254" s="1829"/>
      <c r="K254" s="1829"/>
      <c r="L254" s="1830"/>
      <c r="M254" s="1829"/>
      <c r="N254" s="1831"/>
      <c r="O254" s="1831"/>
      <c r="P254" s="1832"/>
      <c r="Q254" s="1833">
        <f>P254</f>
        <v>0</v>
      </c>
      <c r="R254" s="1833">
        <v>1000000</v>
      </c>
      <c r="S254" s="1834">
        <f>+Q254-R254</f>
        <v>-1000000</v>
      </c>
      <c r="T254" s="1835">
        <f>+S254/R254</f>
        <v>-1</v>
      </c>
    </row>
    <row r="255" spans="1:20" ht="14.45" customHeight="1">
      <c r="A255" s="778"/>
      <c r="B255" s="786"/>
      <c r="C255" s="792"/>
      <c r="D255" s="786"/>
      <c r="E255" s="3637" t="s">
        <v>3136</v>
      </c>
      <c r="F255" s="3638"/>
      <c r="G255" s="3638"/>
      <c r="H255" s="3638"/>
      <c r="I255" s="3638"/>
      <c r="J255" s="3638"/>
      <c r="K255" s="3638"/>
      <c r="L255" s="3638"/>
      <c r="M255" s="3638"/>
      <c r="N255" s="3638"/>
      <c r="O255" s="3638"/>
      <c r="P255" s="3639"/>
      <c r="Q255" s="1426">
        <f>SUM(P256,P260,P268,P272,P274)</f>
        <v>138460000</v>
      </c>
      <c r="R255" s="1426">
        <f>SUM(R256:R283)</f>
        <v>176974000</v>
      </c>
      <c r="S255" s="1427">
        <f>Q255-R255</f>
        <v>-38514000</v>
      </c>
      <c r="T255" s="1428">
        <f>S255/R255</f>
        <v>-0.21762518788070565</v>
      </c>
    </row>
    <row r="256" spans="1:20" ht="14.45" customHeight="1">
      <c r="A256" s="778"/>
      <c r="B256" s="786"/>
      <c r="C256" s="792"/>
      <c r="D256" s="1010"/>
      <c r="E256" s="786"/>
      <c r="F256" s="1827" t="s">
        <v>1878</v>
      </c>
      <c r="G256" s="1828"/>
      <c r="H256" s="1829"/>
      <c r="I256" s="1829"/>
      <c r="J256" s="1829"/>
      <c r="K256" s="1829"/>
      <c r="L256" s="1830"/>
      <c r="M256" s="1829"/>
      <c r="N256" s="1831"/>
      <c r="O256" s="1831"/>
      <c r="P256" s="1832">
        <f>SUM(P257:P259)</f>
        <v>2000000</v>
      </c>
      <c r="Q256" s="1833">
        <f>P256</f>
        <v>2000000</v>
      </c>
      <c r="R256" s="1833">
        <v>5000000</v>
      </c>
      <c r="S256" s="1834">
        <f>+Q256-R256</f>
        <v>-3000000</v>
      </c>
      <c r="T256" s="1835">
        <f>+S256/R256</f>
        <v>-0.6</v>
      </c>
    </row>
    <row r="257" spans="1:20" ht="14.45" customHeight="1">
      <c r="A257" s="778"/>
      <c r="B257" s="786"/>
      <c r="C257" s="792"/>
      <c r="D257" s="1010"/>
      <c r="E257" s="786"/>
      <c r="F257" s="1851" t="s">
        <v>2738</v>
      </c>
      <c r="G257" s="1850">
        <v>300000</v>
      </c>
      <c r="H257" s="1431" t="s">
        <v>21</v>
      </c>
      <c r="I257" s="1871">
        <v>1</v>
      </c>
      <c r="J257" s="1431"/>
      <c r="K257" s="1433"/>
      <c r="L257" s="1837"/>
      <c r="M257" s="1433"/>
      <c r="N257" s="1436"/>
      <c r="O257" s="1436" t="s">
        <v>2739</v>
      </c>
      <c r="P257" s="1437">
        <f>G257*I257</f>
        <v>300000</v>
      </c>
      <c r="Q257" s="1438"/>
      <c r="R257" s="1438"/>
      <c r="S257" s="1439"/>
      <c r="T257" s="1440"/>
    </row>
    <row r="258" spans="1:20" ht="14.45" customHeight="1">
      <c r="A258" s="778"/>
      <c r="B258" s="786"/>
      <c r="C258" s="792"/>
      <c r="D258" s="1010"/>
      <c r="E258" s="786"/>
      <c r="F258" s="1851" t="s">
        <v>2740</v>
      </c>
      <c r="G258" s="1850">
        <v>800000</v>
      </c>
      <c r="H258" s="1431" t="s">
        <v>21</v>
      </c>
      <c r="I258" s="1871">
        <v>1</v>
      </c>
      <c r="J258" s="1431"/>
      <c r="K258" s="1433"/>
      <c r="L258" s="1837"/>
      <c r="M258" s="1433"/>
      <c r="N258" s="1436"/>
      <c r="O258" s="1436" t="s">
        <v>2706</v>
      </c>
      <c r="P258" s="1437">
        <f t="shared" ref="P258:P259" si="11">G258*I258</f>
        <v>800000</v>
      </c>
      <c r="Q258" s="1438"/>
      <c r="R258" s="1438"/>
      <c r="S258" s="1439"/>
      <c r="T258" s="1440"/>
    </row>
    <row r="259" spans="1:20" ht="14.45" customHeight="1">
      <c r="A259" s="778"/>
      <c r="B259" s="786"/>
      <c r="C259" s="792"/>
      <c r="D259" s="1010"/>
      <c r="E259" s="786"/>
      <c r="F259" s="1851" t="s">
        <v>2741</v>
      </c>
      <c r="G259" s="1850">
        <v>900000</v>
      </c>
      <c r="H259" s="1431" t="s">
        <v>21</v>
      </c>
      <c r="I259" s="1871">
        <v>1</v>
      </c>
      <c r="J259" s="1431"/>
      <c r="K259" s="1433"/>
      <c r="L259" s="1837"/>
      <c r="M259" s="1433"/>
      <c r="N259" s="1436"/>
      <c r="O259" s="1436" t="s">
        <v>2706</v>
      </c>
      <c r="P259" s="1437">
        <f t="shared" si="11"/>
        <v>900000</v>
      </c>
      <c r="Q259" s="1438"/>
      <c r="R259" s="1438"/>
      <c r="S259" s="1439"/>
      <c r="T259" s="1440"/>
    </row>
    <row r="260" spans="1:20" ht="14.45" customHeight="1">
      <c r="A260" s="778"/>
      <c r="B260" s="786"/>
      <c r="C260" s="792"/>
      <c r="D260" s="1010"/>
      <c r="E260" s="786"/>
      <c r="F260" s="1827" t="s">
        <v>1879</v>
      </c>
      <c r="G260" s="1828"/>
      <c r="H260" s="1829"/>
      <c r="I260" s="1829"/>
      <c r="J260" s="1829"/>
      <c r="K260" s="1829"/>
      <c r="L260" s="1830"/>
      <c r="M260" s="1829"/>
      <c r="N260" s="1831"/>
      <c r="O260" s="1831"/>
      <c r="P260" s="1832">
        <f>SUM(P261:P267)</f>
        <v>120000000</v>
      </c>
      <c r="Q260" s="1833">
        <f>P260</f>
        <v>120000000</v>
      </c>
      <c r="R260" s="1833">
        <v>37000000</v>
      </c>
      <c r="S260" s="1834">
        <f>+Q260-R260</f>
        <v>83000000</v>
      </c>
      <c r="T260" s="1835">
        <f>+S260/R260</f>
        <v>2.2432432432432434</v>
      </c>
    </row>
    <row r="261" spans="1:20" ht="14.45" customHeight="1">
      <c r="A261" s="778"/>
      <c r="B261" s="786"/>
      <c r="C261" s="792"/>
      <c r="D261" s="1010"/>
      <c r="E261" s="786"/>
      <c r="F261" s="1851" t="s">
        <v>2742</v>
      </c>
      <c r="G261" s="1850">
        <v>15000000</v>
      </c>
      <c r="H261" s="1431" t="s">
        <v>21</v>
      </c>
      <c r="I261" s="1871">
        <v>1</v>
      </c>
      <c r="J261" s="1431"/>
      <c r="K261" s="1433"/>
      <c r="L261" s="1837"/>
      <c r="M261" s="1433"/>
      <c r="N261" s="1436"/>
      <c r="O261" s="1436" t="s">
        <v>2706</v>
      </c>
      <c r="P261" s="1437">
        <f>G261*I261</f>
        <v>15000000</v>
      </c>
      <c r="Q261" s="1438"/>
      <c r="R261" s="1438"/>
      <c r="S261" s="1439"/>
      <c r="T261" s="1440"/>
    </row>
    <row r="262" spans="1:20" ht="14.45" customHeight="1">
      <c r="A262" s="778"/>
      <c r="B262" s="786"/>
      <c r="C262" s="792"/>
      <c r="D262" s="1010"/>
      <c r="E262" s="786"/>
      <c r="F262" s="1851" t="s">
        <v>2743</v>
      </c>
      <c r="G262" s="1850">
        <v>30000000</v>
      </c>
      <c r="H262" s="1431" t="s">
        <v>21</v>
      </c>
      <c r="I262" s="1871">
        <v>1</v>
      </c>
      <c r="J262" s="1431"/>
      <c r="K262" s="1433"/>
      <c r="L262" s="1837"/>
      <c r="M262" s="1433"/>
      <c r="N262" s="1436"/>
      <c r="O262" s="1436" t="s">
        <v>2706</v>
      </c>
      <c r="P262" s="1437">
        <f t="shared" ref="P262:P266" si="12">G262*I262</f>
        <v>30000000</v>
      </c>
      <c r="Q262" s="1438"/>
      <c r="R262" s="1438"/>
      <c r="S262" s="1439"/>
      <c r="T262" s="1440"/>
    </row>
    <row r="263" spans="1:20" ht="14.45" customHeight="1">
      <c r="A263" s="778"/>
      <c r="B263" s="786"/>
      <c r="C263" s="792"/>
      <c r="D263" s="1010"/>
      <c r="E263" s="786"/>
      <c r="F263" s="1851" t="s">
        <v>2744</v>
      </c>
      <c r="G263" s="1850">
        <v>30000000</v>
      </c>
      <c r="H263" s="1431" t="s">
        <v>21</v>
      </c>
      <c r="I263" s="1871">
        <v>1</v>
      </c>
      <c r="J263" s="1431"/>
      <c r="K263" s="1433"/>
      <c r="L263" s="1837"/>
      <c r="M263" s="1433"/>
      <c r="N263" s="1436"/>
      <c r="O263" s="1436" t="s">
        <v>2706</v>
      </c>
      <c r="P263" s="1437">
        <f t="shared" si="12"/>
        <v>30000000</v>
      </c>
      <c r="Q263" s="1438"/>
      <c r="R263" s="1438"/>
      <c r="S263" s="1439"/>
      <c r="T263" s="1440"/>
    </row>
    <row r="264" spans="1:20" ht="14.45" customHeight="1">
      <c r="A264" s="778"/>
      <c r="B264" s="786"/>
      <c r="C264" s="792"/>
      <c r="D264" s="1010"/>
      <c r="E264" s="786"/>
      <c r="F264" s="1851" t="s">
        <v>2745</v>
      </c>
      <c r="G264" s="1850">
        <v>1000000</v>
      </c>
      <c r="H264" s="1431" t="s">
        <v>21</v>
      </c>
      <c r="I264" s="1871">
        <v>1</v>
      </c>
      <c r="J264" s="1431"/>
      <c r="K264" s="1433"/>
      <c r="L264" s="1837"/>
      <c r="M264" s="1433"/>
      <c r="N264" s="1436"/>
      <c r="O264" s="1436" t="s">
        <v>1037</v>
      </c>
      <c r="P264" s="1437">
        <f t="shared" si="12"/>
        <v>1000000</v>
      </c>
      <c r="Q264" s="1438"/>
      <c r="R264" s="1438"/>
      <c r="S264" s="1439"/>
      <c r="T264" s="1440"/>
    </row>
    <row r="265" spans="1:20" ht="14.45" customHeight="1">
      <c r="A265" s="778"/>
      <c r="B265" s="786"/>
      <c r="C265" s="792"/>
      <c r="D265" s="1010"/>
      <c r="E265" s="786"/>
      <c r="F265" s="1851" t="s">
        <v>2746</v>
      </c>
      <c r="G265" s="1850">
        <v>500000</v>
      </c>
      <c r="H265" s="1431" t="s">
        <v>21</v>
      </c>
      <c r="I265" s="1871">
        <v>1</v>
      </c>
      <c r="J265" s="1431"/>
      <c r="K265" s="1433"/>
      <c r="L265" s="1837"/>
      <c r="M265" s="1433"/>
      <c r="N265" s="1436"/>
      <c r="O265" s="1436" t="s">
        <v>2747</v>
      </c>
      <c r="P265" s="1437">
        <f t="shared" si="12"/>
        <v>500000</v>
      </c>
      <c r="Q265" s="1438"/>
      <c r="R265" s="1438"/>
      <c r="S265" s="1439"/>
      <c r="T265" s="1440"/>
    </row>
    <row r="266" spans="1:20" ht="14.45" customHeight="1">
      <c r="A266" s="778"/>
      <c r="B266" s="786"/>
      <c r="C266" s="792"/>
      <c r="D266" s="1010"/>
      <c r="E266" s="786"/>
      <c r="F266" s="1851" t="s">
        <v>2748</v>
      </c>
      <c r="G266" s="1850">
        <v>30000000</v>
      </c>
      <c r="H266" s="1431" t="s">
        <v>21</v>
      </c>
      <c r="I266" s="1871">
        <v>1</v>
      </c>
      <c r="J266" s="1431"/>
      <c r="K266" s="1433"/>
      <c r="L266" s="1837"/>
      <c r="M266" s="1433"/>
      <c r="N266" s="1436"/>
      <c r="O266" s="1436" t="s">
        <v>1037</v>
      </c>
      <c r="P266" s="1437">
        <f t="shared" si="12"/>
        <v>30000000</v>
      </c>
      <c r="Q266" s="1438"/>
      <c r="R266" s="1438"/>
      <c r="S266" s="1439"/>
      <c r="T266" s="1440"/>
    </row>
    <row r="267" spans="1:20" ht="14.45" customHeight="1">
      <c r="A267" s="778"/>
      <c r="B267" s="786"/>
      <c r="C267" s="792"/>
      <c r="D267" s="1010"/>
      <c r="E267" s="786"/>
      <c r="F267" s="1851" t="s">
        <v>2749</v>
      </c>
      <c r="G267" s="1850">
        <v>90000</v>
      </c>
      <c r="H267" s="1431" t="s">
        <v>21</v>
      </c>
      <c r="I267" s="1953">
        <v>6</v>
      </c>
      <c r="J267" s="1431" t="s">
        <v>21</v>
      </c>
      <c r="K267" s="1949">
        <v>25</v>
      </c>
      <c r="L267" s="1837"/>
      <c r="M267" s="1433"/>
      <c r="N267" s="1436"/>
      <c r="O267" s="1436" t="s">
        <v>1037</v>
      </c>
      <c r="P267" s="1437">
        <f>G267*I267*K267</f>
        <v>13500000</v>
      </c>
      <c r="Q267" s="1438"/>
      <c r="R267" s="1438"/>
      <c r="S267" s="1439"/>
      <c r="T267" s="1440"/>
    </row>
    <row r="268" spans="1:20" ht="14.45" customHeight="1">
      <c r="A268" s="778"/>
      <c r="B268" s="786"/>
      <c r="C268" s="792"/>
      <c r="D268" s="1010"/>
      <c r="E268" s="786"/>
      <c r="F268" s="1827" t="s">
        <v>1880</v>
      </c>
      <c r="G268" s="1828"/>
      <c r="H268" s="1829"/>
      <c r="I268" s="1829"/>
      <c r="J268" s="1829"/>
      <c r="K268" s="1829"/>
      <c r="L268" s="1830"/>
      <c r="M268" s="1829"/>
      <c r="N268" s="1831"/>
      <c r="O268" s="1831"/>
      <c r="P268" s="1832">
        <f>SUM(P269:P271)</f>
        <v>2000000</v>
      </c>
      <c r="Q268" s="1833">
        <f>P268</f>
        <v>2000000</v>
      </c>
      <c r="R268" s="1833">
        <v>5000000</v>
      </c>
      <c r="S268" s="1834">
        <f>+Q268-R268</f>
        <v>-3000000</v>
      </c>
      <c r="T268" s="1835">
        <f>+S268/R268</f>
        <v>-0.6</v>
      </c>
    </row>
    <row r="269" spans="1:20" ht="14.45" customHeight="1">
      <c r="A269" s="778"/>
      <c r="B269" s="786"/>
      <c r="C269" s="792"/>
      <c r="D269" s="1010"/>
      <c r="E269" s="786"/>
      <c r="F269" s="1851" t="s">
        <v>2750</v>
      </c>
      <c r="G269" s="1850">
        <v>600000</v>
      </c>
      <c r="H269" s="1431" t="s">
        <v>21</v>
      </c>
      <c r="I269" s="1871">
        <v>1</v>
      </c>
      <c r="J269" s="1431"/>
      <c r="K269" s="1433"/>
      <c r="L269" s="1837"/>
      <c r="M269" s="1433"/>
      <c r="N269" s="1436"/>
      <c r="O269" s="1436" t="s">
        <v>2751</v>
      </c>
      <c r="P269" s="1437">
        <f>G269*I269</f>
        <v>600000</v>
      </c>
      <c r="Q269" s="1438"/>
      <c r="R269" s="1438"/>
      <c r="S269" s="1439"/>
      <c r="T269" s="1440"/>
    </row>
    <row r="270" spans="1:20" ht="14.45" customHeight="1">
      <c r="A270" s="778"/>
      <c r="B270" s="786"/>
      <c r="C270" s="792"/>
      <c r="D270" s="1010"/>
      <c r="E270" s="786"/>
      <c r="F270" s="1851" t="s">
        <v>2752</v>
      </c>
      <c r="G270" s="1850">
        <v>400000</v>
      </c>
      <c r="H270" s="1431" t="s">
        <v>21</v>
      </c>
      <c r="I270" s="1871">
        <v>1</v>
      </c>
      <c r="J270" s="1431"/>
      <c r="K270" s="1433"/>
      <c r="L270" s="1837"/>
      <c r="M270" s="1433"/>
      <c r="N270" s="1436"/>
      <c r="O270" s="1436" t="s">
        <v>409</v>
      </c>
      <c r="P270" s="1437">
        <f>G270*I270</f>
        <v>400000</v>
      </c>
      <c r="Q270" s="1438"/>
      <c r="R270" s="1438"/>
      <c r="S270" s="1439"/>
      <c r="T270" s="1440"/>
    </row>
    <row r="271" spans="1:20" ht="14.45" customHeight="1">
      <c r="A271" s="778"/>
      <c r="B271" s="786"/>
      <c r="C271" s="792"/>
      <c r="D271" s="1010"/>
      <c r="E271" s="786"/>
      <c r="F271" s="1851" t="s">
        <v>2753</v>
      </c>
      <c r="G271" s="1850">
        <v>1000000</v>
      </c>
      <c r="H271" s="1431" t="s">
        <v>21</v>
      </c>
      <c r="I271" s="1871">
        <v>1</v>
      </c>
      <c r="J271" s="1431"/>
      <c r="K271" s="1433"/>
      <c r="L271" s="1837"/>
      <c r="M271" s="1433"/>
      <c r="N271" s="1436"/>
      <c r="O271" s="1436" t="s">
        <v>2412</v>
      </c>
      <c r="P271" s="1437">
        <f>G271*I271</f>
        <v>1000000</v>
      </c>
      <c r="Q271" s="1438"/>
      <c r="R271" s="1438"/>
      <c r="S271" s="1439"/>
      <c r="T271" s="1440"/>
    </row>
    <row r="272" spans="1:20" ht="14.45" customHeight="1">
      <c r="A272" s="778"/>
      <c r="B272" s="786"/>
      <c r="C272" s="792"/>
      <c r="D272" s="1010"/>
      <c r="E272" s="786"/>
      <c r="F272" s="1827" t="s">
        <v>1881</v>
      </c>
      <c r="G272" s="1828"/>
      <c r="H272" s="1829"/>
      <c r="I272" s="1829"/>
      <c r="J272" s="1829"/>
      <c r="K272" s="1829"/>
      <c r="L272" s="1830"/>
      <c r="M272" s="1829"/>
      <c r="N272" s="1831"/>
      <c r="O272" s="1831"/>
      <c r="P272" s="1832">
        <f>SUM(P273)</f>
        <v>840000</v>
      </c>
      <c r="Q272" s="1833">
        <f>P272</f>
        <v>840000</v>
      </c>
      <c r="R272" s="1833">
        <v>1440000</v>
      </c>
      <c r="S272" s="1834">
        <f>+Q272-R272</f>
        <v>-600000</v>
      </c>
      <c r="T272" s="1835">
        <f>+S272/R272</f>
        <v>-0.41666666666666669</v>
      </c>
    </row>
    <row r="273" spans="1:20" ht="14.45" customHeight="1">
      <c r="A273" s="778"/>
      <c r="B273" s="786"/>
      <c r="C273" s="792"/>
      <c r="D273" s="1010"/>
      <c r="E273" s="786"/>
      <c r="F273" s="1954" t="s">
        <v>2754</v>
      </c>
      <c r="G273" s="1852">
        <v>70000</v>
      </c>
      <c r="H273" s="1826" t="s">
        <v>21</v>
      </c>
      <c r="I273" s="1955">
        <v>12</v>
      </c>
      <c r="J273" s="1826"/>
      <c r="K273" s="1874"/>
      <c r="L273" s="1875"/>
      <c r="M273" s="1874"/>
      <c r="N273" s="1855"/>
      <c r="O273" s="1855" t="s">
        <v>2755</v>
      </c>
      <c r="P273" s="1839">
        <f>G273*I273</f>
        <v>840000</v>
      </c>
      <c r="Q273" s="1438"/>
      <c r="R273" s="1438"/>
      <c r="S273" s="1439"/>
      <c r="T273" s="1440"/>
    </row>
    <row r="274" spans="1:20" ht="14.45" customHeight="1">
      <c r="A274" s="778"/>
      <c r="B274" s="786"/>
      <c r="C274" s="792"/>
      <c r="D274" s="1010"/>
      <c r="E274" s="786"/>
      <c r="F274" s="1827" t="s">
        <v>1882</v>
      </c>
      <c r="G274" s="1828"/>
      <c r="H274" s="1829"/>
      <c r="I274" s="1829"/>
      <c r="J274" s="1829"/>
      <c r="K274" s="1829"/>
      <c r="L274" s="1830"/>
      <c r="M274" s="1829"/>
      <c r="N274" s="1831"/>
      <c r="O274" s="1831"/>
      <c r="P274" s="1832">
        <f>SUM(P275:P282)</f>
        <v>13620000</v>
      </c>
      <c r="Q274" s="1833">
        <f>P274</f>
        <v>13620000</v>
      </c>
      <c r="R274" s="1833">
        <v>11784000</v>
      </c>
      <c r="S274" s="1834">
        <f>+Q274-R274</f>
        <v>1836000</v>
      </c>
      <c r="T274" s="1835">
        <f>+S274/R274</f>
        <v>0.15580448065173116</v>
      </c>
    </row>
    <row r="275" spans="1:20" ht="14.45" customHeight="1">
      <c r="A275" s="778"/>
      <c r="B275" s="786"/>
      <c r="C275" s="792"/>
      <c r="D275" s="1010"/>
      <c r="E275" s="786"/>
      <c r="F275" s="1956" t="s">
        <v>1883</v>
      </c>
      <c r="G275" s="1957">
        <v>130000</v>
      </c>
      <c r="H275" s="1958" t="s">
        <v>21</v>
      </c>
      <c r="I275" s="1959">
        <v>2</v>
      </c>
      <c r="J275" s="1958" t="s">
        <v>21</v>
      </c>
      <c r="K275" s="1955">
        <v>12</v>
      </c>
      <c r="L275" s="1837"/>
      <c r="M275" s="1433"/>
      <c r="N275" s="1436"/>
      <c r="O275" s="1436" t="s">
        <v>1037</v>
      </c>
      <c r="P275" s="1437">
        <f>G275*I275*K275</f>
        <v>3120000</v>
      </c>
      <c r="Q275" s="1438"/>
      <c r="R275" s="1438"/>
      <c r="S275" s="1439"/>
      <c r="T275" s="1440"/>
    </row>
    <row r="276" spans="1:20" ht="14.45" customHeight="1">
      <c r="A276" s="778"/>
      <c r="B276" s="786"/>
      <c r="C276" s="792"/>
      <c r="D276" s="1010"/>
      <c r="E276" s="786"/>
      <c r="F276" s="1956" t="s">
        <v>53</v>
      </c>
      <c r="G276" s="1957">
        <v>500000</v>
      </c>
      <c r="H276" s="1958" t="s">
        <v>21</v>
      </c>
      <c r="I276" s="1840">
        <v>1</v>
      </c>
      <c r="J276" s="1958"/>
      <c r="K276" s="1949"/>
      <c r="L276" s="1837"/>
      <c r="M276" s="1433"/>
      <c r="N276" s="1436"/>
      <c r="O276" s="1436" t="s">
        <v>1037</v>
      </c>
      <c r="P276" s="1437">
        <f>G276*I276</f>
        <v>500000</v>
      </c>
      <c r="Q276" s="1438"/>
      <c r="R276" s="1438"/>
      <c r="S276" s="1439"/>
      <c r="T276" s="1440"/>
    </row>
    <row r="277" spans="1:20" ht="14.45" customHeight="1">
      <c r="A277" s="778"/>
      <c r="B277" s="786"/>
      <c r="C277" s="792"/>
      <c r="D277" s="1010"/>
      <c r="E277" s="786"/>
      <c r="F277" s="1956" t="s">
        <v>2756</v>
      </c>
      <c r="G277" s="1957">
        <v>1200000</v>
      </c>
      <c r="H277" s="1958" t="s">
        <v>21</v>
      </c>
      <c r="I277" s="1840">
        <v>1</v>
      </c>
      <c r="J277" s="1958"/>
      <c r="K277" s="1840"/>
      <c r="L277" s="1837"/>
      <c r="M277" s="1433"/>
      <c r="N277" s="1436"/>
      <c r="O277" s="1436" t="s">
        <v>2757</v>
      </c>
      <c r="P277" s="1437">
        <f>G277*I277</f>
        <v>1200000</v>
      </c>
      <c r="Q277" s="1438"/>
      <c r="R277" s="1438"/>
      <c r="S277" s="1439"/>
      <c r="T277" s="1440"/>
    </row>
    <row r="278" spans="1:20" ht="14.45" customHeight="1">
      <c r="A278" s="778"/>
      <c r="B278" s="786"/>
      <c r="C278" s="792"/>
      <c r="D278" s="1010"/>
      <c r="E278" s="786"/>
      <c r="F278" s="1956" t="s">
        <v>2758</v>
      </c>
      <c r="G278" s="1957">
        <v>440000</v>
      </c>
      <c r="H278" s="1958" t="s">
        <v>21</v>
      </c>
      <c r="I278" s="1840">
        <v>1</v>
      </c>
      <c r="J278" s="1958"/>
      <c r="K278" s="1840"/>
      <c r="L278" s="1837"/>
      <c r="M278" s="1433"/>
      <c r="N278" s="1436"/>
      <c r="O278" s="1436" t="s">
        <v>1037</v>
      </c>
      <c r="P278" s="1437">
        <f>G278*I278</f>
        <v>440000</v>
      </c>
      <c r="Q278" s="1438"/>
      <c r="R278" s="1438"/>
      <c r="S278" s="1439"/>
      <c r="T278" s="1440"/>
    </row>
    <row r="279" spans="1:20" ht="14.45" customHeight="1">
      <c r="A279" s="778"/>
      <c r="B279" s="786"/>
      <c r="C279" s="792"/>
      <c r="D279" s="1010"/>
      <c r="E279" s="786"/>
      <c r="F279" s="1956" t="s">
        <v>2759</v>
      </c>
      <c r="G279" s="1957">
        <v>22500</v>
      </c>
      <c r="H279" s="1958" t="s">
        <v>21</v>
      </c>
      <c r="I279" s="1959">
        <v>8</v>
      </c>
      <c r="J279" s="1958" t="s">
        <v>21</v>
      </c>
      <c r="K279" s="1949">
        <v>2</v>
      </c>
      <c r="L279" s="1837"/>
      <c r="M279" s="1433"/>
      <c r="N279" s="1436"/>
      <c r="O279" s="1436" t="s">
        <v>1037</v>
      </c>
      <c r="P279" s="1437">
        <f>G279*I279*K279</f>
        <v>360000</v>
      </c>
      <c r="Q279" s="1438"/>
      <c r="R279" s="1438"/>
      <c r="S279" s="1439"/>
      <c r="T279" s="1440"/>
    </row>
    <row r="280" spans="1:20" ht="14.45" customHeight="1">
      <c r="A280" s="778"/>
      <c r="B280" s="786"/>
      <c r="C280" s="792"/>
      <c r="D280" s="786"/>
      <c r="F280" s="1956" t="s">
        <v>2760</v>
      </c>
      <c r="G280" s="1957">
        <v>400000</v>
      </c>
      <c r="H280" s="1958" t="s">
        <v>21</v>
      </c>
      <c r="I280" s="1959">
        <v>2</v>
      </c>
      <c r="J280" s="1958" t="s">
        <v>21</v>
      </c>
      <c r="K280" s="1949">
        <v>2</v>
      </c>
      <c r="L280" s="1837"/>
      <c r="M280" s="1433"/>
      <c r="N280" s="1436"/>
      <c r="O280" s="1436" t="s">
        <v>2757</v>
      </c>
      <c r="P280" s="1437">
        <f>G280*I280*K280</f>
        <v>1600000</v>
      </c>
      <c r="Q280" s="1438"/>
      <c r="R280" s="1438"/>
      <c r="S280" s="1439"/>
      <c r="T280" s="1440"/>
    </row>
    <row r="281" spans="1:20" ht="14.45" customHeight="1">
      <c r="A281" s="1130"/>
      <c r="B281" s="846"/>
      <c r="C281" s="780"/>
      <c r="D281" s="846"/>
      <c r="E281" s="3281"/>
      <c r="F281" s="1966" t="s">
        <v>1885</v>
      </c>
      <c r="G281" s="3058">
        <f>166666</f>
        <v>166666</v>
      </c>
      <c r="H281" s="1967" t="s">
        <v>21</v>
      </c>
      <c r="I281" s="3059">
        <v>12</v>
      </c>
      <c r="J281" s="1967" t="s">
        <v>21</v>
      </c>
      <c r="K281" s="3060">
        <v>2</v>
      </c>
      <c r="L281" s="1910"/>
      <c r="M281" s="1909"/>
      <c r="N281" s="1911"/>
      <c r="O281" s="1911" t="s">
        <v>2757</v>
      </c>
      <c r="P281" s="1912">
        <f>ROUNDUP(G281*I281*K281,-3)</f>
        <v>4000000</v>
      </c>
      <c r="Q281" s="1913"/>
      <c r="R281" s="1913"/>
      <c r="S281" s="1914"/>
      <c r="T281" s="1915"/>
    </row>
    <row r="282" spans="1:20" ht="14.45" customHeight="1">
      <c r="A282" s="778"/>
      <c r="B282" s="786"/>
      <c r="C282" s="792"/>
      <c r="D282" s="786"/>
      <c r="F282" s="3534" t="s">
        <v>3195</v>
      </c>
      <c r="G282" s="1957">
        <v>200000</v>
      </c>
      <c r="H282" s="1958" t="s">
        <v>21</v>
      </c>
      <c r="I282" s="1955">
        <v>12</v>
      </c>
      <c r="J282" s="1958"/>
      <c r="K282" s="1949"/>
      <c r="L282" s="1837"/>
      <c r="M282" s="1433"/>
      <c r="N282" s="1436"/>
      <c r="O282" s="1436" t="s">
        <v>1781</v>
      </c>
      <c r="P282" s="1437">
        <f>G282*I282</f>
        <v>2400000</v>
      </c>
      <c r="Q282" s="1438"/>
      <c r="R282" s="1438"/>
      <c r="S282" s="1439"/>
      <c r="T282" s="1440"/>
    </row>
    <row r="283" spans="1:20" ht="14.45" customHeight="1">
      <c r="A283" s="778"/>
      <c r="B283" s="786"/>
      <c r="C283" s="792"/>
      <c r="D283" s="786"/>
      <c r="F283" s="1827" t="s">
        <v>2911</v>
      </c>
      <c r="G283" s="1828"/>
      <c r="H283" s="1829"/>
      <c r="I283" s="1829"/>
      <c r="J283" s="1829"/>
      <c r="K283" s="1829"/>
      <c r="L283" s="1830"/>
      <c r="M283" s="1829"/>
      <c r="N283" s="1831"/>
      <c r="O283" s="1831"/>
      <c r="P283" s="1832"/>
      <c r="Q283" s="1833">
        <f>P283</f>
        <v>0</v>
      </c>
      <c r="R283" s="1833">
        <v>116750000</v>
      </c>
      <c r="S283" s="1834">
        <f>+Q283-R283</f>
        <v>-116750000</v>
      </c>
      <c r="T283" s="1835">
        <f>+S283/R283</f>
        <v>-1</v>
      </c>
    </row>
    <row r="284" spans="1:20" ht="14.45" customHeight="1">
      <c r="A284" s="778"/>
      <c r="B284" s="786"/>
      <c r="C284" s="792"/>
      <c r="D284" s="786"/>
      <c r="E284" s="3637" t="s">
        <v>3137</v>
      </c>
      <c r="F284" s="3638"/>
      <c r="G284" s="3638"/>
      <c r="H284" s="3638"/>
      <c r="I284" s="3638"/>
      <c r="J284" s="3638"/>
      <c r="K284" s="3638"/>
      <c r="L284" s="3638"/>
      <c r="M284" s="3638"/>
      <c r="N284" s="3638"/>
      <c r="O284" s="3638"/>
      <c r="P284" s="3639"/>
      <c r="Q284" s="1426">
        <f>SUM(P285,P330,P334,P336,P338,P341,P343,P346,P349)</f>
        <v>294315000</v>
      </c>
      <c r="R284" s="1426">
        <f>SUM(R285:R354)</f>
        <v>308628000</v>
      </c>
      <c r="S284" s="1427">
        <f>Q284-R284</f>
        <v>-14313000</v>
      </c>
      <c r="T284" s="1428">
        <f>S284/R284</f>
        <v>-4.6376219915237764E-2</v>
      </c>
    </row>
    <row r="285" spans="1:20" ht="14.45" customHeight="1">
      <c r="A285" s="778"/>
      <c r="B285" s="786"/>
      <c r="C285" s="792"/>
      <c r="D285" s="786"/>
      <c r="E285" s="3336"/>
      <c r="F285" s="1827" t="s">
        <v>1893</v>
      </c>
      <c r="G285" s="1828"/>
      <c r="H285" s="1829"/>
      <c r="I285" s="1829"/>
      <c r="J285" s="1829"/>
      <c r="K285" s="1829"/>
      <c r="L285" s="1830"/>
      <c r="M285" s="1829"/>
      <c r="N285" s="1831"/>
      <c r="O285" s="1831"/>
      <c r="P285" s="1832">
        <f>SUM(P286,P322,P327)</f>
        <v>242015000</v>
      </c>
      <c r="Q285" s="1833">
        <f>P285</f>
        <v>242015000</v>
      </c>
      <c r="R285" s="1833">
        <v>261628000</v>
      </c>
      <c r="S285" s="1834">
        <f>+Q285-R285</f>
        <v>-19613000</v>
      </c>
      <c r="T285" s="1835">
        <f>+S285/R285</f>
        <v>-7.4965217790144784E-2</v>
      </c>
    </row>
    <row r="286" spans="1:20" ht="14.45" customHeight="1">
      <c r="A286" s="778"/>
      <c r="B286" s="786"/>
      <c r="C286" s="792"/>
      <c r="D286" s="786"/>
      <c r="E286" s="3336"/>
      <c r="F286" s="1954" t="s">
        <v>2761</v>
      </c>
      <c r="G286" s="1850"/>
      <c r="H286" s="1431"/>
      <c r="I286" s="1433"/>
      <c r="J286" s="1431"/>
      <c r="K286" s="1433"/>
      <c r="L286" s="1837"/>
      <c r="M286" s="1433"/>
      <c r="N286" s="1436"/>
      <c r="O286" s="1436"/>
      <c r="P286" s="1960">
        <f>SUM(P287:P321)</f>
        <v>229000000</v>
      </c>
      <c r="Q286" s="1438"/>
      <c r="R286" s="1438"/>
      <c r="S286" s="1439"/>
      <c r="T286" s="1440"/>
    </row>
    <row r="287" spans="1:20" ht="14.45" customHeight="1">
      <c r="A287" s="778"/>
      <c r="B287" s="786"/>
      <c r="C287" s="792"/>
      <c r="D287" s="786"/>
      <c r="E287" s="3336"/>
      <c r="F287" s="1961" t="s">
        <v>2762</v>
      </c>
      <c r="G287" s="1850">
        <v>600000</v>
      </c>
      <c r="H287" s="1431" t="s">
        <v>21</v>
      </c>
      <c r="I287" s="1433">
        <v>12</v>
      </c>
      <c r="J287" s="1431"/>
      <c r="K287" s="1433"/>
      <c r="L287" s="1837"/>
      <c r="M287" s="1433"/>
      <c r="N287" s="1436"/>
      <c r="O287" s="1436" t="s">
        <v>2757</v>
      </c>
      <c r="P287" s="1437">
        <f t="shared" ref="P287:P321" si="13">G287*I287</f>
        <v>7200000</v>
      </c>
      <c r="Q287" s="1438"/>
      <c r="R287" s="1438"/>
      <c r="S287" s="1439"/>
      <c r="T287" s="1440"/>
    </row>
    <row r="288" spans="1:20" ht="14.45" customHeight="1">
      <c r="A288" s="778"/>
      <c r="B288" s="786"/>
      <c r="C288" s="792"/>
      <c r="D288" s="786"/>
      <c r="E288" s="3336"/>
      <c r="F288" s="1961" t="s">
        <v>2763</v>
      </c>
      <c r="G288" s="1850">
        <v>200000</v>
      </c>
      <c r="H288" s="1431" t="s">
        <v>21</v>
      </c>
      <c r="I288" s="1433">
        <v>12</v>
      </c>
      <c r="J288" s="1431"/>
      <c r="K288" s="1433"/>
      <c r="L288" s="1837"/>
      <c r="M288" s="1433"/>
      <c r="N288" s="1436"/>
      <c r="O288" s="1436" t="s">
        <v>2757</v>
      </c>
      <c r="P288" s="1437">
        <f t="shared" si="13"/>
        <v>2400000</v>
      </c>
      <c r="Q288" s="1438"/>
      <c r="R288" s="1438"/>
      <c r="S288" s="1439"/>
      <c r="T288" s="1440"/>
    </row>
    <row r="289" spans="1:20" ht="14.45" customHeight="1">
      <c r="A289" s="778"/>
      <c r="B289" s="786"/>
      <c r="C289" s="792"/>
      <c r="D289" s="786"/>
      <c r="E289" s="3336"/>
      <c r="F289" s="1961" t="s">
        <v>2764</v>
      </c>
      <c r="G289" s="1850">
        <v>350000</v>
      </c>
      <c r="H289" s="1431" t="s">
        <v>21</v>
      </c>
      <c r="I289" s="1433">
        <v>12</v>
      </c>
      <c r="J289" s="1431"/>
      <c r="K289" s="1433"/>
      <c r="L289" s="1837"/>
      <c r="M289" s="1433"/>
      <c r="N289" s="1436"/>
      <c r="O289" s="1436" t="s">
        <v>2757</v>
      </c>
      <c r="P289" s="1437">
        <f t="shared" si="13"/>
        <v>4200000</v>
      </c>
      <c r="Q289" s="1438"/>
      <c r="R289" s="1438"/>
      <c r="S289" s="1439"/>
      <c r="T289" s="1440"/>
    </row>
    <row r="290" spans="1:20" ht="14.45" customHeight="1">
      <c r="A290" s="778"/>
      <c r="B290" s="786"/>
      <c r="C290" s="792"/>
      <c r="D290" s="786"/>
      <c r="E290" s="3336"/>
      <c r="F290" s="1961" t="s">
        <v>2765</v>
      </c>
      <c r="G290" s="1850">
        <v>200000</v>
      </c>
      <c r="H290" s="1431" t="s">
        <v>21</v>
      </c>
      <c r="I290" s="1433">
        <v>12</v>
      </c>
      <c r="J290" s="1431"/>
      <c r="K290" s="1433"/>
      <c r="L290" s="1837"/>
      <c r="M290" s="1433"/>
      <c r="N290" s="1436"/>
      <c r="O290" s="1436" t="s">
        <v>2757</v>
      </c>
      <c r="P290" s="1437">
        <f t="shared" si="13"/>
        <v>2400000</v>
      </c>
      <c r="Q290" s="1438"/>
      <c r="R290" s="1438"/>
      <c r="S290" s="1439"/>
      <c r="T290" s="1440"/>
    </row>
    <row r="291" spans="1:20" ht="14.45" customHeight="1">
      <c r="A291" s="778"/>
      <c r="B291" s="786"/>
      <c r="C291" s="792"/>
      <c r="D291" s="786"/>
      <c r="E291" s="3336"/>
      <c r="F291" s="1961" t="s">
        <v>2766</v>
      </c>
      <c r="G291" s="1850">
        <v>200000</v>
      </c>
      <c r="H291" s="1431" t="s">
        <v>21</v>
      </c>
      <c r="I291" s="1433">
        <v>12</v>
      </c>
      <c r="J291" s="1431"/>
      <c r="K291" s="1433"/>
      <c r="L291" s="1837"/>
      <c r="M291" s="1433"/>
      <c r="N291" s="1436"/>
      <c r="O291" s="1436" t="s">
        <v>2757</v>
      </c>
      <c r="P291" s="1437">
        <f t="shared" si="13"/>
        <v>2400000</v>
      </c>
      <c r="Q291" s="1438"/>
      <c r="R291" s="1438"/>
      <c r="S291" s="1439"/>
      <c r="T291" s="1440"/>
    </row>
    <row r="292" spans="1:20" ht="14.45" customHeight="1">
      <c r="A292" s="778"/>
      <c r="B292" s="786"/>
      <c r="C292" s="792"/>
      <c r="D292" s="786"/>
      <c r="E292" s="3336"/>
      <c r="F292" s="1961" t="s">
        <v>1894</v>
      </c>
      <c r="G292" s="1850">
        <v>400000</v>
      </c>
      <c r="H292" s="1431" t="s">
        <v>21</v>
      </c>
      <c r="I292" s="1433">
        <v>12</v>
      </c>
      <c r="J292" s="1431"/>
      <c r="K292" s="1433"/>
      <c r="L292" s="1837"/>
      <c r="M292" s="1433"/>
      <c r="N292" s="1436"/>
      <c r="O292" s="1436" t="s">
        <v>2757</v>
      </c>
      <c r="P292" s="1437">
        <f t="shared" si="13"/>
        <v>4800000</v>
      </c>
      <c r="Q292" s="1438"/>
      <c r="R292" s="1438"/>
      <c r="S292" s="1439"/>
      <c r="T292" s="1440"/>
    </row>
    <row r="293" spans="1:20" ht="14.45" customHeight="1">
      <c r="A293" s="778"/>
      <c r="B293" s="786"/>
      <c r="C293" s="792"/>
      <c r="D293" s="786"/>
      <c r="E293" s="3336"/>
      <c r="F293" s="1961" t="s">
        <v>1895</v>
      </c>
      <c r="G293" s="1850">
        <v>400000</v>
      </c>
      <c r="H293" s="1431" t="s">
        <v>21</v>
      </c>
      <c r="I293" s="1433">
        <v>12</v>
      </c>
      <c r="J293" s="1431"/>
      <c r="K293" s="1433"/>
      <c r="L293" s="1837"/>
      <c r="M293" s="1433"/>
      <c r="N293" s="1436"/>
      <c r="O293" s="1436" t="s">
        <v>2757</v>
      </c>
      <c r="P293" s="1437">
        <f t="shared" si="13"/>
        <v>4800000</v>
      </c>
      <c r="Q293" s="1438"/>
      <c r="R293" s="1438"/>
      <c r="S293" s="1439"/>
      <c r="T293" s="1440"/>
    </row>
    <row r="294" spans="1:20" ht="14.45" customHeight="1">
      <c r="A294" s="778"/>
      <c r="B294" s="786"/>
      <c r="C294" s="792"/>
      <c r="D294" s="786"/>
      <c r="E294" s="3336"/>
      <c r="F294" s="1961" t="s">
        <v>1896</v>
      </c>
      <c r="G294" s="1850">
        <v>600000</v>
      </c>
      <c r="H294" s="1431" t="s">
        <v>21</v>
      </c>
      <c r="I294" s="1433">
        <v>12</v>
      </c>
      <c r="J294" s="1431"/>
      <c r="K294" s="1433"/>
      <c r="L294" s="1837"/>
      <c r="M294" s="1433"/>
      <c r="N294" s="1436"/>
      <c r="O294" s="1436" t="s">
        <v>2757</v>
      </c>
      <c r="P294" s="1437">
        <f t="shared" si="13"/>
        <v>7200000</v>
      </c>
      <c r="Q294" s="1438"/>
      <c r="R294" s="1438"/>
      <c r="S294" s="1439"/>
      <c r="T294" s="1440"/>
    </row>
    <row r="295" spans="1:20" ht="14.45" customHeight="1">
      <c r="A295" s="778"/>
      <c r="B295" s="786"/>
      <c r="C295" s="792"/>
      <c r="D295" s="786"/>
      <c r="E295" s="3336"/>
      <c r="F295" s="1961" t="s">
        <v>1897</v>
      </c>
      <c r="G295" s="1850">
        <v>1900000</v>
      </c>
      <c r="H295" s="1431" t="s">
        <v>21</v>
      </c>
      <c r="I295" s="1433">
        <v>12</v>
      </c>
      <c r="J295" s="1431"/>
      <c r="K295" s="1433"/>
      <c r="L295" s="1837"/>
      <c r="M295" s="1433"/>
      <c r="N295" s="1436"/>
      <c r="O295" s="1436" t="s">
        <v>2757</v>
      </c>
      <c r="P295" s="1437">
        <f t="shared" si="13"/>
        <v>22800000</v>
      </c>
      <c r="Q295" s="1438"/>
      <c r="R295" s="1438"/>
      <c r="S295" s="1439"/>
      <c r="T295" s="1440"/>
    </row>
    <row r="296" spans="1:20" ht="14.45" customHeight="1">
      <c r="A296" s="778"/>
      <c r="B296" s="786"/>
      <c r="C296" s="792"/>
      <c r="D296" s="786"/>
      <c r="E296" s="3336"/>
      <c r="F296" s="1961" t="s">
        <v>1898</v>
      </c>
      <c r="G296" s="1850">
        <v>400000</v>
      </c>
      <c r="H296" s="1431" t="s">
        <v>21</v>
      </c>
      <c r="I296" s="1433">
        <v>12</v>
      </c>
      <c r="J296" s="1431"/>
      <c r="K296" s="1433"/>
      <c r="L296" s="1837"/>
      <c r="M296" s="1433"/>
      <c r="N296" s="1436"/>
      <c r="O296" s="1436" t="s">
        <v>2757</v>
      </c>
      <c r="P296" s="1437">
        <f t="shared" si="13"/>
        <v>4800000</v>
      </c>
      <c r="Q296" s="1438"/>
      <c r="R296" s="1438"/>
      <c r="S296" s="1439"/>
      <c r="T296" s="1440"/>
    </row>
    <row r="297" spans="1:20" ht="14.45" customHeight="1">
      <c r="A297" s="778"/>
      <c r="B297" s="786"/>
      <c r="C297" s="792"/>
      <c r="D297" s="786"/>
      <c r="E297" s="3336"/>
      <c r="F297" s="1961" t="s">
        <v>1899</v>
      </c>
      <c r="G297" s="1850">
        <v>300000</v>
      </c>
      <c r="H297" s="1431" t="s">
        <v>21</v>
      </c>
      <c r="I297" s="1433">
        <v>12</v>
      </c>
      <c r="J297" s="1431"/>
      <c r="K297" s="1433"/>
      <c r="L297" s="1837"/>
      <c r="M297" s="1433"/>
      <c r="N297" s="1436"/>
      <c r="O297" s="1436" t="s">
        <v>2757</v>
      </c>
      <c r="P297" s="1437">
        <f t="shared" si="13"/>
        <v>3600000</v>
      </c>
      <c r="Q297" s="1438"/>
      <c r="R297" s="1438"/>
      <c r="S297" s="1439"/>
      <c r="T297" s="1440"/>
    </row>
    <row r="298" spans="1:20" ht="14.45" customHeight="1">
      <c r="A298" s="778"/>
      <c r="B298" s="786"/>
      <c r="C298" s="792"/>
      <c r="D298" s="786"/>
      <c r="E298" s="3336"/>
      <c r="F298" s="1961" t="s">
        <v>1900</v>
      </c>
      <c r="G298" s="1850">
        <v>100000</v>
      </c>
      <c r="H298" s="1431" t="s">
        <v>21</v>
      </c>
      <c r="I298" s="1433">
        <v>12</v>
      </c>
      <c r="J298" s="1431"/>
      <c r="K298" s="1433"/>
      <c r="L298" s="1837"/>
      <c r="M298" s="1433"/>
      <c r="N298" s="1436"/>
      <c r="O298" s="1436" t="s">
        <v>1037</v>
      </c>
      <c r="P298" s="1437">
        <f t="shared" si="13"/>
        <v>1200000</v>
      </c>
      <c r="Q298" s="1438"/>
      <c r="R298" s="1438"/>
      <c r="S298" s="1439"/>
      <c r="T298" s="1440"/>
    </row>
    <row r="299" spans="1:20" ht="14.45" customHeight="1">
      <c r="A299" s="778"/>
      <c r="B299" s="786"/>
      <c r="C299" s="792"/>
      <c r="D299" s="786"/>
      <c r="E299" s="3336"/>
      <c r="F299" s="1961" t="s">
        <v>1901</v>
      </c>
      <c r="G299" s="1850">
        <v>500000</v>
      </c>
      <c r="H299" s="1431" t="s">
        <v>21</v>
      </c>
      <c r="I299" s="1433">
        <v>12</v>
      </c>
      <c r="J299" s="1431"/>
      <c r="K299" s="1433"/>
      <c r="L299" s="1837"/>
      <c r="M299" s="1433"/>
      <c r="N299" s="1436"/>
      <c r="O299" s="1436" t="s">
        <v>2757</v>
      </c>
      <c r="P299" s="1437">
        <f t="shared" si="13"/>
        <v>6000000</v>
      </c>
      <c r="Q299" s="1438"/>
      <c r="R299" s="1438"/>
      <c r="S299" s="1439"/>
      <c r="T299" s="1440"/>
    </row>
    <row r="300" spans="1:20" ht="14.45" customHeight="1">
      <c r="A300" s="778"/>
      <c r="B300" s="786"/>
      <c r="C300" s="792"/>
      <c r="D300" s="786"/>
      <c r="E300" s="3336"/>
      <c r="F300" s="1961" t="s">
        <v>1902</v>
      </c>
      <c r="G300" s="1850">
        <v>450000</v>
      </c>
      <c r="H300" s="1431" t="s">
        <v>21</v>
      </c>
      <c r="I300" s="1433">
        <v>12</v>
      </c>
      <c r="J300" s="1431"/>
      <c r="K300" s="1433"/>
      <c r="L300" s="1837"/>
      <c r="M300" s="1433"/>
      <c r="N300" s="1436"/>
      <c r="O300" s="1436" t="s">
        <v>1781</v>
      </c>
      <c r="P300" s="1437">
        <f t="shared" si="13"/>
        <v>5400000</v>
      </c>
      <c r="Q300" s="1438"/>
      <c r="R300" s="1438"/>
      <c r="S300" s="1439"/>
      <c r="T300" s="1440"/>
    </row>
    <row r="301" spans="1:20" ht="14.45" customHeight="1">
      <c r="A301" s="778"/>
      <c r="B301" s="786"/>
      <c r="C301" s="792"/>
      <c r="D301" s="786"/>
      <c r="E301" s="3336"/>
      <c r="F301" s="1961" t="s">
        <v>1903</v>
      </c>
      <c r="G301" s="1850">
        <v>100000</v>
      </c>
      <c r="H301" s="1431" t="s">
        <v>21</v>
      </c>
      <c r="I301" s="1433">
        <v>12</v>
      </c>
      <c r="J301" s="1431"/>
      <c r="K301" s="1433"/>
      <c r="L301" s="1837"/>
      <c r="M301" s="1433"/>
      <c r="N301" s="1436"/>
      <c r="O301" s="1436" t="s">
        <v>2757</v>
      </c>
      <c r="P301" s="1437">
        <f t="shared" si="13"/>
        <v>1200000</v>
      </c>
      <c r="Q301" s="1438"/>
      <c r="R301" s="1438"/>
      <c r="S301" s="1439"/>
      <c r="T301" s="1440"/>
    </row>
    <row r="302" spans="1:20" ht="14.45" customHeight="1">
      <c r="A302" s="778"/>
      <c r="B302" s="786"/>
      <c r="C302" s="792"/>
      <c r="D302" s="786"/>
      <c r="E302" s="3336"/>
      <c r="F302" s="1961" t="s">
        <v>1904</v>
      </c>
      <c r="G302" s="1850">
        <v>450000</v>
      </c>
      <c r="H302" s="1431" t="s">
        <v>21</v>
      </c>
      <c r="I302" s="1433">
        <v>12</v>
      </c>
      <c r="J302" s="1431"/>
      <c r="K302" s="1433"/>
      <c r="L302" s="1837"/>
      <c r="M302" s="1433"/>
      <c r="N302" s="1436"/>
      <c r="O302" s="1436" t="s">
        <v>1781</v>
      </c>
      <c r="P302" s="1437">
        <f t="shared" si="13"/>
        <v>5400000</v>
      </c>
      <c r="Q302" s="1438"/>
      <c r="R302" s="1438"/>
      <c r="S302" s="1439"/>
      <c r="T302" s="1440"/>
    </row>
    <row r="303" spans="1:20" ht="14.45" customHeight="1">
      <c r="A303" s="778"/>
      <c r="B303" s="786"/>
      <c r="C303" s="792"/>
      <c r="D303" s="786"/>
      <c r="E303" s="3336"/>
      <c r="F303" s="1961" t="s">
        <v>1905</v>
      </c>
      <c r="G303" s="1850">
        <v>450000</v>
      </c>
      <c r="H303" s="1431" t="s">
        <v>21</v>
      </c>
      <c r="I303" s="1433">
        <v>12</v>
      </c>
      <c r="J303" s="1431"/>
      <c r="K303" s="1433"/>
      <c r="L303" s="1837"/>
      <c r="M303" s="1433"/>
      <c r="N303" s="1436"/>
      <c r="O303" s="1436" t="s">
        <v>1781</v>
      </c>
      <c r="P303" s="1437">
        <f t="shared" si="13"/>
        <v>5400000</v>
      </c>
      <c r="Q303" s="1438"/>
      <c r="R303" s="1438"/>
      <c r="S303" s="1439"/>
      <c r="T303" s="1440"/>
    </row>
    <row r="304" spans="1:20" ht="14.45" customHeight="1">
      <c r="A304" s="778"/>
      <c r="B304" s="786"/>
      <c r="C304" s="792"/>
      <c r="D304" s="786"/>
      <c r="E304" s="3336"/>
      <c r="F304" s="1961" t="s">
        <v>1906</v>
      </c>
      <c r="G304" s="1850">
        <v>300000</v>
      </c>
      <c r="H304" s="1431" t="s">
        <v>21</v>
      </c>
      <c r="I304" s="1433">
        <v>12</v>
      </c>
      <c r="J304" s="1431"/>
      <c r="K304" s="1433"/>
      <c r="L304" s="1837"/>
      <c r="M304" s="1433"/>
      <c r="N304" s="1436"/>
      <c r="O304" s="1436" t="s">
        <v>1781</v>
      </c>
      <c r="P304" s="1437">
        <f t="shared" si="13"/>
        <v>3600000</v>
      </c>
      <c r="Q304" s="1438"/>
      <c r="R304" s="1438"/>
      <c r="S304" s="1439"/>
      <c r="T304" s="1440"/>
    </row>
    <row r="305" spans="1:20" ht="14.45" customHeight="1">
      <c r="A305" s="778"/>
      <c r="B305" s="786"/>
      <c r="C305" s="792"/>
      <c r="D305" s="786"/>
      <c r="E305" s="3336"/>
      <c r="F305" s="1961" t="s">
        <v>1907</v>
      </c>
      <c r="G305" s="1850">
        <v>300000</v>
      </c>
      <c r="H305" s="1431" t="s">
        <v>21</v>
      </c>
      <c r="I305" s="1433">
        <v>12</v>
      </c>
      <c r="J305" s="1431"/>
      <c r="K305" s="1433"/>
      <c r="L305" s="1837"/>
      <c r="M305" s="1433"/>
      <c r="N305" s="1436"/>
      <c r="O305" s="1436" t="s">
        <v>1781</v>
      </c>
      <c r="P305" s="1437">
        <f t="shared" si="13"/>
        <v>3600000</v>
      </c>
      <c r="Q305" s="1438"/>
      <c r="R305" s="1438"/>
      <c r="S305" s="1439"/>
      <c r="T305" s="1440"/>
    </row>
    <row r="306" spans="1:20" ht="14.45" customHeight="1">
      <c r="A306" s="778"/>
      <c r="B306" s="786"/>
      <c r="C306" s="792"/>
      <c r="D306" s="786"/>
      <c r="E306" s="3336"/>
      <c r="F306" s="1961" t="s">
        <v>1908</v>
      </c>
      <c r="G306" s="1850">
        <v>300000</v>
      </c>
      <c r="H306" s="1431" t="s">
        <v>21</v>
      </c>
      <c r="I306" s="1433">
        <v>12</v>
      </c>
      <c r="J306" s="1431"/>
      <c r="K306" s="1433"/>
      <c r="L306" s="1837"/>
      <c r="M306" s="1433"/>
      <c r="N306" s="1436"/>
      <c r="O306" s="1436" t="s">
        <v>2757</v>
      </c>
      <c r="P306" s="1437">
        <f t="shared" si="13"/>
        <v>3600000</v>
      </c>
      <c r="Q306" s="1438"/>
      <c r="R306" s="1438"/>
      <c r="S306" s="1439"/>
      <c r="T306" s="1440"/>
    </row>
    <row r="307" spans="1:20" ht="14.45" customHeight="1">
      <c r="A307" s="778"/>
      <c r="B307" s="786"/>
      <c r="C307" s="792"/>
      <c r="D307" s="786"/>
      <c r="E307" s="3336"/>
      <c r="F307" s="1961" t="s">
        <v>1909</v>
      </c>
      <c r="G307" s="1850">
        <v>1100000</v>
      </c>
      <c r="H307" s="1431" t="s">
        <v>21</v>
      </c>
      <c r="I307" s="1433">
        <v>12</v>
      </c>
      <c r="J307" s="1431"/>
      <c r="K307" s="1433"/>
      <c r="L307" s="1837"/>
      <c r="M307" s="1433"/>
      <c r="N307" s="1436"/>
      <c r="O307" s="1436" t="s">
        <v>2757</v>
      </c>
      <c r="P307" s="1437">
        <f t="shared" si="13"/>
        <v>13200000</v>
      </c>
      <c r="Q307" s="1438"/>
      <c r="R307" s="1438"/>
      <c r="S307" s="1439"/>
      <c r="T307" s="1440"/>
    </row>
    <row r="308" spans="1:20" ht="14.45" customHeight="1">
      <c r="A308" s="778"/>
      <c r="B308" s="786"/>
      <c r="C308" s="792"/>
      <c r="D308" s="786"/>
      <c r="E308" s="3336"/>
      <c r="F308" s="1961" t="s">
        <v>1910</v>
      </c>
      <c r="G308" s="1850">
        <v>750000</v>
      </c>
      <c r="H308" s="1431" t="s">
        <v>21</v>
      </c>
      <c r="I308" s="1433">
        <v>12</v>
      </c>
      <c r="J308" s="1431"/>
      <c r="K308" s="1433"/>
      <c r="L308" s="1837"/>
      <c r="M308" s="1433"/>
      <c r="N308" s="1436"/>
      <c r="O308" s="1436" t="s">
        <v>1781</v>
      </c>
      <c r="P308" s="1437">
        <f t="shared" si="13"/>
        <v>9000000</v>
      </c>
      <c r="Q308" s="1438"/>
      <c r="R308" s="1438"/>
      <c r="S308" s="1439"/>
      <c r="T308" s="1440"/>
    </row>
    <row r="309" spans="1:20" ht="14.45" customHeight="1">
      <c r="A309" s="778"/>
      <c r="B309" s="786"/>
      <c r="C309" s="792"/>
      <c r="D309" s="786"/>
      <c r="E309" s="3336"/>
      <c r="F309" s="1961" t="s">
        <v>1911</v>
      </c>
      <c r="G309" s="1850">
        <v>300000</v>
      </c>
      <c r="H309" s="1431" t="s">
        <v>21</v>
      </c>
      <c r="I309" s="1433">
        <v>12</v>
      </c>
      <c r="J309" s="1431"/>
      <c r="K309" s="1433"/>
      <c r="L309" s="1837"/>
      <c r="M309" s="1433"/>
      <c r="N309" s="1436"/>
      <c r="O309" s="1436" t="s">
        <v>1781</v>
      </c>
      <c r="P309" s="1437">
        <f t="shared" si="13"/>
        <v>3600000</v>
      </c>
      <c r="Q309" s="1438"/>
      <c r="R309" s="1438"/>
      <c r="S309" s="1439"/>
      <c r="T309" s="1440"/>
    </row>
    <row r="310" spans="1:20" ht="14.45" customHeight="1">
      <c r="A310" s="778"/>
      <c r="B310" s="786"/>
      <c r="C310" s="792"/>
      <c r="D310" s="786"/>
      <c r="E310" s="3336"/>
      <c r="F310" s="1961" t="s">
        <v>1912</v>
      </c>
      <c r="G310" s="1850">
        <v>100000</v>
      </c>
      <c r="H310" s="1431" t="s">
        <v>21</v>
      </c>
      <c r="I310" s="1433">
        <v>12</v>
      </c>
      <c r="J310" s="1431"/>
      <c r="K310" s="1433"/>
      <c r="L310" s="1837"/>
      <c r="M310" s="1433"/>
      <c r="N310" s="1436"/>
      <c r="O310" s="1436" t="s">
        <v>1781</v>
      </c>
      <c r="P310" s="1437">
        <f t="shared" si="13"/>
        <v>1200000</v>
      </c>
      <c r="Q310" s="1438"/>
      <c r="R310" s="1438"/>
      <c r="S310" s="1439"/>
      <c r="T310" s="1440"/>
    </row>
    <row r="311" spans="1:20" ht="14.45" customHeight="1">
      <c r="A311" s="778"/>
      <c r="B311" s="786"/>
      <c r="C311" s="792"/>
      <c r="D311" s="786"/>
      <c r="E311" s="3336"/>
      <c r="F311" s="1961" t="s">
        <v>1913</v>
      </c>
      <c r="G311" s="1850">
        <v>1300000</v>
      </c>
      <c r="H311" s="1431" t="s">
        <v>21</v>
      </c>
      <c r="I311" s="1433">
        <v>12</v>
      </c>
      <c r="J311" s="1431"/>
      <c r="K311" s="1433"/>
      <c r="L311" s="1837"/>
      <c r="M311" s="1433"/>
      <c r="N311" s="1436"/>
      <c r="O311" s="1436" t="s">
        <v>2757</v>
      </c>
      <c r="P311" s="1437">
        <f t="shared" si="13"/>
        <v>15600000</v>
      </c>
      <c r="Q311" s="1438"/>
      <c r="R311" s="1438"/>
      <c r="S311" s="1439"/>
      <c r="T311" s="1440"/>
    </row>
    <row r="312" spans="1:20" ht="14.45" customHeight="1">
      <c r="A312" s="778"/>
      <c r="B312" s="786"/>
      <c r="C312" s="792"/>
      <c r="D312" s="786"/>
      <c r="E312" s="3336"/>
      <c r="F312" s="1961" t="s">
        <v>1914</v>
      </c>
      <c r="G312" s="1850">
        <v>300000</v>
      </c>
      <c r="H312" s="1431" t="s">
        <v>21</v>
      </c>
      <c r="I312" s="1433">
        <v>12</v>
      </c>
      <c r="J312" s="1431"/>
      <c r="K312" s="1433"/>
      <c r="L312" s="1837"/>
      <c r="M312" s="1433"/>
      <c r="N312" s="1436"/>
      <c r="O312" s="1436" t="s">
        <v>1781</v>
      </c>
      <c r="P312" s="1437">
        <f t="shared" si="13"/>
        <v>3600000</v>
      </c>
      <c r="Q312" s="1438"/>
      <c r="R312" s="1438"/>
      <c r="S312" s="1439"/>
      <c r="T312" s="1440"/>
    </row>
    <row r="313" spans="1:20" ht="14.45" customHeight="1">
      <c r="A313" s="778"/>
      <c r="B313" s="786"/>
      <c r="C313" s="792"/>
      <c r="D313" s="786"/>
      <c r="E313" s="3336"/>
      <c r="F313" s="1961" t="s">
        <v>1915</v>
      </c>
      <c r="G313" s="1850">
        <v>300000</v>
      </c>
      <c r="H313" s="1431" t="s">
        <v>21</v>
      </c>
      <c r="I313" s="1433">
        <v>12</v>
      </c>
      <c r="J313" s="1431"/>
      <c r="K313" s="1433"/>
      <c r="L313" s="1837"/>
      <c r="M313" s="1433"/>
      <c r="N313" s="1436"/>
      <c r="O313" s="1436" t="s">
        <v>2757</v>
      </c>
      <c r="P313" s="1437">
        <f t="shared" si="13"/>
        <v>3600000</v>
      </c>
      <c r="Q313" s="1438"/>
      <c r="R313" s="1438"/>
      <c r="S313" s="1439"/>
      <c r="T313" s="1440"/>
    </row>
    <row r="314" spans="1:20" ht="14.45" customHeight="1">
      <c r="A314" s="778"/>
      <c r="B314" s="786"/>
      <c r="C314" s="792"/>
      <c r="D314" s="786"/>
      <c r="E314" s="3336"/>
      <c r="F314" s="1961" t="s">
        <v>1916</v>
      </c>
      <c r="G314" s="1850">
        <v>700000</v>
      </c>
      <c r="H314" s="1431" t="s">
        <v>21</v>
      </c>
      <c r="I314" s="1433">
        <v>10</v>
      </c>
      <c r="J314" s="1431"/>
      <c r="K314" s="1433"/>
      <c r="L314" s="1837"/>
      <c r="M314" s="1433"/>
      <c r="N314" s="1436"/>
      <c r="O314" s="1436" t="s">
        <v>2757</v>
      </c>
      <c r="P314" s="1437">
        <f t="shared" si="13"/>
        <v>7000000</v>
      </c>
      <c r="Q314" s="1438"/>
      <c r="R314" s="1438"/>
      <c r="S314" s="1439"/>
      <c r="T314" s="1440"/>
    </row>
    <row r="315" spans="1:20" ht="14.45" customHeight="1">
      <c r="A315" s="778"/>
      <c r="B315" s="786"/>
      <c r="C315" s="792"/>
      <c r="D315" s="786"/>
      <c r="E315" s="3336"/>
      <c r="F315" s="1961" t="s">
        <v>1917</v>
      </c>
      <c r="G315" s="1850">
        <v>500000</v>
      </c>
      <c r="H315" s="1431" t="s">
        <v>21</v>
      </c>
      <c r="I315" s="1433">
        <v>12</v>
      </c>
      <c r="J315" s="1431"/>
      <c r="K315" s="1433"/>
      <c r="L315" s="1837"/>
      <c r="M315" s="1433"/>
      <c r="N315" s="1436"/>
      <c r="O315" s="1436" t="s">
        <v>1781</v>
      </c>
      <c r="P315" s="1437">
        <f t="shared" si="13"/>
        <v>6000000</v>
      </c>
      <c r="Q315" s="1438"/>
      <c r="R315" s="1438"/>
      <c r="S315" s="1439"/>
      <c r="T315" s="1440"/>
    </row>
    <row r="316" spans="1:20" ht="14.45" customHeight="1">
      <c r="A316" s="778"/>
      <c r="B316" s="786"/>
      <c r="C316" s="792"/>
      <c r="D316" s="786"/>
      <c r="E316" s="3336"/>
      <c r="F316" s="1961" t="s">
        <v>1918</v>
      </c>
      <c r="G316" s="1850">
        <v>400000</v>
      </c>
      <c r="H316" s="1431" t="s">
        <v>21</v>
      </c>
      <c r="I316" s="1433">
        <v>12</v>
      </c>
      <c r="J316" s="1431"/>
      <c r="K316" s="1433"/>
      <c r="L316" s="1837"/>
      <c r="M316" s="1433"/>
      <c r="N316" s="1436"/>
      <c r="O316" s="1436" t="s">
        <v>1781</v>
      </c>
      <c r="P316" s="1437">
        <f t="shared" si="13"/>
        <v>4800000</v>
      </c>
      <c r="Q316" s="1438"/>
      <c r="R316" s="1438"/>
      <c r="S316" s="1439"/>
      <c r="T316" s="1440"/>
    </row>
    <row r="317" spans="1:20" ht="14.45" customHeight="1">
      <c r="A317" s="778"/>
      <c r="B317" s="786"/>
      <c r="C317" s="792"/>
      <c r="D317" s="786"/>
      <c r="E317" s="3336"/>
      <c r="F317" s="1961" t="s">
        <v>1919</v>
      </c>
      <c r="G317" s="1850">
        <v>1500000</v>
      </c>
      <c r="H317" s="1431" t="s">
        <v>21</v>
      </c>
      <c r="I317" s="1433">
        <v>12</v>
      </c>
      <c r="J317" s="1431"/>
      <c r="K317" s="1433"/>
      <c r="L317" s="1837"/>
      <c r="M317" s="1433"/>
      <c r="N317" s="1436"/>
      <c r="O317" s="1436" t="s">
        <v>2757</v>
      </c>
      <c r="P317" s="1437">
        <f t="shared" si="13"/>
        <v>18000000</v>
      </c>
      <c r="Q317" s="1438"/>
      <c r="R317" s="1438"/>
      <c r="S317" s="1439"/>
      <c r="T317" s="1440"/>
    </row>
    <row r="318" spans="1:20" ht="14.45" customHeight="1">
      <c r="A318" s="778"/>
      <c r="B318" s="786"/>
      <c r="C318" s="792"/>
      <c r="D318" s="786"/>
      <c r="E318" s="3336"/>
      <c r="F318" s="1961" t="s">
        <v>1920</v>
      </c>
      <c r="G318" s="1850">
        <v>2000000</v>
      </c>
      <c r="H318" s="1431" t="s">
        <v>21</v>
      </c>
      <c r="I318" s="1433">
        <v>12</v>
      </c>
      <c r="J318" s="1431"/>
      <c r="K318" s="1433"/>
      <c r="L318" s="1837"/>
      <c r="M318" s="1433"/>
      <c r="N318" s="1436"/>
      <c r="O318" s="1436" t="s">
        <v>1781</v>
      </c>
      <c r="P318" s="1437">
        <f t="shared" si="13"/>
        <v>24000000</v>
      </c>
      <c r="Q318" s="1438"/>
      <c r="R318" s="1438"/>
      <c r="S318" s="1439"/>
      <c r="T318" s="1440"/>
    </row>
    <row r="319" spans="1:20" ht="14.45" customHeight="1">
      <c r="A319" s="778"/>
      <c r="B319" s="786"/>
      <c r="C319" s="792"/>
      <c r="D319" s="786"/>
      <c r="E319" s="3336"/>
      <c r="F319" s="1961" t="s">
        <v>1921</v>
      </c>
      <c r="G319" s="1850">
        <v>500000</v>
      </c>
      <c r="H319" s="1431" t="s">
        <v>21</v>
      </c>
      <c r="I319" s="1433">
        <v>12</v>
      </c>
      <c r="J319" s="1431"/>
      <c r="K319" s="1433"/>
      <c r="L319" s="1837"/>
      <c r="M319" s="1433"/>
      <c r="N319" s="1436"/>
      <c r="O319" s="1436" t="s">
        <v>1781</v>
      </c>
      <c r="P319" s="1437">
        <f t="shared" si="13"/>
        <v>6000000</v>
      </c>
      <c r="Q319" s="1438"/>
      <c r="R319" s="1438"/>
      <c r="S319" s="1439"/>
      <c r="T319" s="1440"/>
    </row>
    <row r="320" spans="1:20" ht="14.45" customHeight="1">
      <c r="A320" s="778"/>
      <c r="B320" s="786"/>
      <c r="C320" s="792"/>
      <c r="D320" s="786"/>
      <c r="E320" s="3336"/>
      <c r="F320" s="1961" t="s">
        <v>1922</v>
      </c>
      <c r="G320" s="1850">
        <v>600000</v>
      </c>
      <c r="H320" s="1431" t="s">
        <v>21</v>
      </c>
      <c r="I320" s="1433">
        <v>12</v>
      </c>
      <c r="J320" s="1431"/>
      <c r="K320" s="1433"/>
      <c r="L320" s="1837"/>
      <c r="M320" s="1433"/>
      <c r="N320" s="1436"/>
      <c r="O320" s="1436" t="s">
        <v>1781</v>
      </c>
      <c r="P320" s="1437">
        <f t="shared" si="13"/>
        <v>7200000</v>
      </c>
      <c r="Q320" s="1438"/>
      <c r="R320" s="1438"/>
      <c r="S320" s="1439"/>
      <c r="T320" s="1440"/>
    </row>
    <row r="321" spans="1:20" ht="14.45" customHeight="1">
      <c r="A321" s="1130"/>
      <c r="B321" s="846"/>
      <c r="C321" s="780"/>
      <c r="D321" s="846"/>
      <c r="E321" s="3346"/>
      <c r="F321" s="3061" t="s">
        <v>1923</v>
      </c>
      <c r="G321" s="1951">
        <v>2100000</v>
      </c>
      <c r="H321" s="1908" t="s">
        <v>21</v>
      </c>
      <c r="I321" s="3062">
        <v>2</v>
      </c>
      <c r="J321" s="1908"/>
      <c r="K321" s="1909"/>
      <c r="L321" s="1910"/>
      <c r="M321" s="1909"/>
      <c r="N321" s="1911"/>
      <c r="O321" s="1911" t="s">
        <v>1781</v>
      </c>
      <c r="P321" s="1912">
        <f t="shared" si="13"/>
        <v>4200000</v>
      </c>
      <c r="Q321" s="1913"/>
      <c r="R321" s="1913"/>
      <c r="S321" s="1914"/>
      <c r="T321" s="1915"/>
    </row>
    <row r="322" spans="1:20" ht="14.45" customHeight="1">
      <c r="A322" s="778"/>
      <c r="B322" s="786"/>
      <c r="C322" s="792"/>
      <c r="D322" s="786"/>
      <c r="E322" s="3336"/>
      <c r="F322" s="1954" t="s">
        <v>2767</v>
      </c>
      <c r="G322" s="1850" t="s">
        <v>2768</v>
      </c>
      <c r="H322" s="1431"/>
      <c r="I322" s="1433"/>
      <c r="J322" s="1431"/>
      <c r="K322" s="1433"/>
      <c r="L322" s="1837"/>
      <c r="M322" s="1433"/>
      <c r="N322" s="1436"/>
      <c r="O322" s="1436"/>
      <c r="P322" s="1960">
        <f>SUM(P323:P326)</f>
        <v>10415000</v>
      </c>
      <c r="Q322" s="1438"/>
      <c r="R322" s="1438"/>
      <c r="S322" s="1439"/>
      <c r="T322" s="1440"/>
    </row>
    <row r="323" spans="1:20" ht="14.45" customHeight="1">
      <c r="A323" s="778"/>
      <c r="B323" s="786"/>
      <c r="C323" s="792"/>
      <c r="D323" s="786"/>
      <c r="E323" s="3336"/>
      <c r="F323" s="1954" t="s">
        <v>2769</v>
      </c>
      <c r="G323" s="1850">
        <v>600000</v>
      </c>
      <c r="H323" s="1431" t="s">
        <v>21</v>
      </c>
      <c r="I323" s="1432">
        <v>12</v>
      </c>
      <c r="J323" s="1431"/>
      <c r="K323" s="1433"/>
      <c r="L323" s="1837"/>
      <c r="M323" s="1433"/>
      <c r="N323" s="1436"/>
      <c r="O323" s="1436" t="s">
        <v>1781</v>
      </c>
      <c r="P323" s="1437">
        <f>G323*I323</f>
        <v>7200000</v>
      </c>
      <c r="Q323" s="1438"/>
      <c r="R323" s="1438"/>
      <c r="S323" s="1439"/>
      <c r="T323" s="1440"/>
    </row>
    <row r="324" spans="1:20" ht="14.45" customHeight="1">
      <c r="A324" s="778"/>
      <c r="B324" s="786"/>
      <c r="C324" s="792"/>
      <c r="D324" s="786"/>
      <c r="E324" s="3336"/>
      <c r="F324" s="1954" t="s">
        <v>1925</v>
      </c>
      <c r="G324" s="1852">
        <v>35000</v>
      </c>
      <c r="H324" s="1826" t="s">
        <v>21</v>
      </c>
      <c r="I324" s="1948">
        <v>49</v>
      </c>
      <c r="J324" s="1826"/>
      <c r="K324" s="1874"/>
      <c r="L324" s="1875"/>
      <c r="M324" s="1874"/>
      <c r="N324" s="1855"/>
      <c r="O324" s="1855" t="s">
        <v>2757</v>
      </c>
      <c r="P324" s="1437">
        <f t="shared" ref="P324:P326" si="14">G324*I324</f>
        <v>1715000</v>
      </c>
      <c r="Q324" s="1438"/>
      <c r="R324" s="1438"/>
      <c r="S324" s="1439"/>
      <c r="T324" s="1440"/>
    </row>
    <row r="325" spans="1:20" ht="14.45" customHeight="1">
      <c r="A325" s="778"/>
      <c r="B325" s="786"/>
      <c r="C325" s="792"/>
      <c r="D325" s="786"/>
      <c r="E325" s="3336"/>
      <c r="F325" s="1954" t="s">
        <v>1927</v>
      </c>
      <c r="G325" s="1852">
        <v>100000</v>
      </c>
      <c r="H325" s="1826" t="s">
        <v>21</v>
      </c>
      <c r="I325" s="1948">
        <v>12</v>
      </c>
      <c r="J325" s="1826"/>
      <c r="K325" s="1874"/>
      <c r="L325" s="1875"/>
      <c r="M325" s="1874"/>
      <c r="N325" s="1855"/>
      <c r="O325" s="1855" t="s">
        <v>1781</v>
      </c>
      <c r="P325" s="1437">
        <f t="shared" si="14"/>
        <v>1200000</v>
      </c>
      <c r="Q325" s="1438"/>
      <c r="R325" s="1438"/>
      <c r="S325" s="1439"/>
      <c r="T325" s="1440"/>
    </row>
    <row r="326" spans="1:20" ht="14.45" customHeight="1">
      <c r="A326" s="778"/>
      <c r="B326" s="786"/>
      <c r="C326" s="792"/>
      <c r="D326" s="786"/>
      <c r="E326" s="3336"/>
      <c r="F326" s="1954" t="s">
        <v>1928</v>
      </c>
      <c r="G326" s="1852">
        <v>300000</v>
      </c>
      <c r="H326" s="1826" t="s">
        <v>21</v>
      </c>
      <c r="I326" s="1948">
        <v>1</v>
      </c>
      <c r="J326" s="1826"/>
      <c r="K326" s="1874"/>
      <c r="L326" s="1875"/>
      <c r="M326" s="1874"/>
      <c r="N326" s="1855"/>
      <c r="O326" s="1855" t="s">
        <v>1781</v>
      </c>
      <c r="P326" s="1437">
        <f t="shared" si="14"/>
        <v>300000</v>
      </c>
      <c r="Q326" s="1438"/>
      <c r="R326" s="1438"/>
      <c r="S326" s="1439"/>
      <c r="T326" s="1440"/>
    </row>
    <row r="327" spans="1:20" ht="14.45" customHeight="1">
      <c r="A327" s="778"/>
      <c r="B327" s="786"/>
      <c r="C327" s="792"/>
      <c r="D327" s="786"/>
      <c r="E327" s="3336"/>
      <c r="F327" s="1954" t="s">
        <v>2770</v>
      </c>
      <c r="G327" s="1850"/>
      <c r="H327" s="1431"/>
      <c r="I327" s="1433"/>
      <c r="J327" s="1431"/>
      <c r="K327" s="1433"/>
      <c r="L327" s="1837"/>
      <c r="M327" s="1433"/>
      <c r="N327" s="1436"/>
      <c r="O327" s="1436"/>
      <c r="P327" s="1960">
        <f>SUM(P328:P329)</f>
        <v>2600000</v>
      </c>
      <c r="Q327" s="1438"/>
      <c r="R327" s="1438"/>
      <c r="S327" s="1439"/>
      <c r="T327" s="1440"/>
    </row>
    <row r="328" spans="1:20" ht="14.45" customHeight="1">
      <c r="A328" s="778"/>
      <c r="B328" s="786"/>
      <c r="C328" s="792"/>
      <c r="D328" s="786"/>
      <c r="E328" s="3301"/>
      <c r="F328" s="1954" t="s">
        <v>2771</v>
      </c>
      <c r="G328" s="1850">
        <v>500000</v>
      </c>
      <c r="H328" s="1431" t="s">
        <v>21</v>
      </c>
      <c r="I328" s="1432">
        <v>2</v>
      </c>
      <c r="J328" s="1431"/>
      <c r="K328" s="1433"/>
      <c r="L328" s="1837"/>
      <c r="M328" s="1433"/>
      <c r="N328" s="1436"/>
      <c r="O328" s="1436" t="s">
        <v>2757</v>
      </c>
      <c r="P328" s="1437">
        <f>G328*I328</f>
        <v>1000000</v>
      </c>
      <c r="Q328" s="1438"/>
      <c r="R328" s="1438"/>
      <c r="S328" s="1439"/>
      <c r="T328" s="1440"/>
    </row>
    <row r="329" spans="1:20" ht="14.45" customHeight="1">
      <c r="A329" s="778"/>
      <c r="B329" s="786"/>
      <c r="C329" s="792"/>
      <c r="D329" s="786"/>
      <c r="E329" s="3301"/>
      <c r="F329" s="1962" t="s">
        <v>2772</v>
      </c>
      <c r="G329" s="1850">
        <v>800000</v>
      </c>
      <c r="H329" s="1431" t="s">
        <v>21</v>
      </c>
      <c r="I329" s="1871">
        <v>2</v>
      </c>
      <c r="J329" s="1431"/>
      <c r="K329" s="1433"/>
      <c r="L329" s="1837"/>
      <c r="M329" s="1433"/>
      <c r="N329" s="1436"/>
      <c r="O329" s="1436" t="s">
        <v>1781</v>
      </c>
      <c r="P329" s="1437">
        <f>G329*I329</f>
        <v>1600000</v>
      </c>
      <c r="Q329" s="1438"/>
      <c r="R329" s="1438"/>
      <c r="S329" s="1439"/>
      <c r="T329" s="1440"/>
    </row>
    <row r="330" spans="1:20" ht="14.45" customHeight="1">
      <c r="A330" s="778"/>
      <c r="B330" s="786"/>
      <c r="C330" s="792"/>
      <c r="D330" s="786"/>
      <c r="E330" s="3337"/>
      <c r="F330" s="1827" t="s">
        <v>1929</v>
      </c>
      <c r="G330" s="1828"/>
      <c r="H330" s="1829"/>
      <c r="I330" s="1829"/>
      <c r="J330" s="1829"/>
      <c r="K330" s="1829"/>
      <c r="L330" s="1830"/>
      <c r="M330" s="1829"/>
      <c r="N330" s="1831"/>
      <c r="O330" s="1831"/>
      <c r="P330" s="1832">
        <f>SUM(P331:P333)</f>
        <v>20000000</v>
      </c>
      <c r="Q330" s="1833">
        <f>P330</f>
        <v>20000000</v>
      </c>
      <c r="R330" s="1833">
        <v>20000000</v>
      </c>
      <c r="S330" s="1834">
        <f>+Q330-R330</f>
        <v>0</v>
      </c>
      <c r="T330" s="1835">
        <f>+S330/R330</f>
        <v>0</v>
      </c>
    </row>
    <row r="331" spans="1:20" ht="14.45" customHeight="1">
      <c r="A331" s="778"/>
      <c r="B331" s="786"/>
      <c r="C331" s="792"/>
      <c r="D331" s="786"/>
      <c r="E331" s="3337"/>
      <c r="F331" s="1851" t="s">
        <v>2773</v>
      </c>
      <c r="G331" s="1850">
        <v>13000000</v>
      </c>
      <c r="H331" s="1431" t="s">
        <v>21</v>
      </c>
      <c r="I331" s="1871">
        <v>1</v>
      </c>
      <c r="J331" s="1431"/>
      <c r="K331" s="1433"/>
      <c r="L331" s="1837"/>
      <c r="M331" s="1433"/>
      <c r="N331" s="1436"/>
      <c r="O331" s="1436" t="s">
        <v>1037</v>
      </c>
      <c r="P331" s="1437">
        <f>G331*I331</f>
        <v>13000000</v>
      </c>
      <c r="Q331" s="1438"/>
      <c r="R331" s="1438"/>
      <c r="S331" s="1439"/>
      <c r="T331" s="1440"/>
    </row>
    <row r="332" spans="1:20" ht="14.45" customHeight="1">
      <c r="A332" s="778"/>
      <c r="B332" s="786"/>
      <c r="C332" s="792"/>
      <c r="D332" s="786"/>
      <c r="E332" s="3337"/>
      <c r="F332" s="3534" t="s">
        <v>3196</v>
      </c>
      <c r="G332" s="1850">
        <v>4000000</v>
      </c>
      <c r="H332" s="1431" t="s">
        <v>21</v>
      </c>
      <c r="I332" s="1871">
        <v>1</v>
      </c>
      <c r="J332" s="1431"/>
      <c r="K332" s="1433"/>
      <c r="L332" s="1837"/>
      <c r="M332" s="1433"/>
      <c r="N332" s="1436"/>
      <c r="O332" s="1436" t="s">
        <v>1037</v>
      </c>
      <c r="P332" s="1437">
        <f t="shared" ref="P332:P333" si="15">G332*I332</f>
        <v>4000000</v>
      </c>
      <c r="Q332" s="1438"/>
      <c r="R332" s="1438"/>
      <c r="S332" s="1439"/>
      <c r="T332" s="1440"/>
    </row>
    <row r="333" spans="1:20" ht="14.45" customHeight="1">
      <c r="A333" s="778"/>
      <c r="B333" s="786"/>
      <c r="C333" s="792"/>
      <c r="D333" s="786"/>
      <c r="E333" s="3337"/>
      <c r="F333" s="1851" t="s">
        <v>2774</v>
      </c>
      <c r="G333" s="1850">
        <v>3000000</v>
      </c>
      <c r="H333" s="1431" t="s">
        <v>21</v>
      </c>
      <c r="I333" s="1871">
        <v>1</v>
      </c>
      <c r="J333" s="1431"/>
      <c r="K333" s="1433"/>
      <c r="L333" s="1837"/>
      <c r="M333" s="1433"/>
      <c r="N333" s="1436"/>
      <c r="O333" s="1436" t="s">
        <v>1037</v>
      </c>
      <c r="P333" s="1437">
        <f t="shared" si="15"/>
        <v>3000000</v>
      </c>
      <c r="Q333" s="1438"/>
      <c r="R333" s="1438"/>
      <c r="S333" s="1439"/>
      <c r="T333" s="1440"/>
    </row>
    <row r="334" spans="1:20" ht="14.45" customHeight="1">
      <c r="A334" s="778"/>
      <c r="B334" s="786"/>
      <c r="C334" s="792"/>
      <c r="D334" s="786"/>
      <c r="E334" s="3337"/>
      <c r="F334" s="1827" t="s">
        <v>1930</v>
      </c>
      <c r="G334" s="1828"/>
      <c r="H334" s="1829"/>
      <c r="I334" s="1829"/>
      <c r="J334" s="1829"/>
      <c r="K334" s="1829"/>
      <c r="L334" s="1830"/>
      <c r="M334" s="1829"/>
      <c r="N334" s="1831"/>
      <c r="O334" s="1831"/>
      <c r="P334" s="1832">
        <f>SUM(P335)</f>
        <v>2000000</v>
      </c>
      <c r="Q334" s="1833">
        <f>P334</f>
        <v>2000000</v>
      </c>
      <c r="R334" s="1833">
        <v>0</v>
      </c>
      <c r="S334" s="1834">
        <f>+Q334-R334</f>
        <v>2000000</v>
      </c>
      <c r="T334" s="1835"/>
    </row>
    <row r="335" spans="1:20" ht="14.45" customHeight="1">
      <c r="A335" s="778"/>
      <c r="B335" s="786"/>
      <c r="C335" s="792"/>
      <c r="D335" s="786"/>
      <c r="E335" s="3337"/>
      <c r="F335" s="1963" t="s">
        <v>2775</v>
      </c>
      <c r="G335" s="1850">
        <v>2000000</v>
      </c>
      <c r="H335" s="1431" t="s">
        <v>21</v>
      </c>
      <c r="I335" s="1871">
        <v>1</v>
      </c>
      <c r="J335" s="1431"/>
      <c r="K335" s="1433"/>
      <c r="L335" s="1837"/>
      <c r="M335" s="1433"/>
      <c r="N335" s="1436"/>
      <c r="O335" s="1436" t="s">
        <v>2718</v>
      </c>
      <c r="P335" s="1437">
        <f>G335*I335</f>
        <v>2000000</v>
      </c>
      <c r="Q335" s="1438"/>
      <c r="R335" s="1438"/>
      <c r="S335" s="1439"/>
      <c r="T335" s="1440"/>
    </row>
    <row r="336" spans="1:20" ht="14.45" customHeight="1">
      <c r="A336" s="778"/>
      <c r="B336" s="786"/>
      <c r="C336" s="792"/>
      <c r="D336" s="786"/>
      <c r="E336" s="3337"/>
      <c r="F336" s="1827" t="s">
        <v>1931</v>
      </c>
      <c r="G336" s="1828" t="s">
        <v>1924</v>
      </c>
      <c r="H336" s="1829"/>
      <c r="I336" s="1829"/>
      <c r="J336" s="1829"/>
      <c r="K336" s="1829"/>
      <c r="L336" s="1830"/>
      <c r="M336" s="1829"/>
      <c r="N336" s="1831"/>
      <c r="O336" s="1831"/>
      <c r="P336" s="1832">
        <f>SUM(P337)</f>
        <v>1600000</v>
      </c>
      <c r="Q336" s="1833">
        <f>P336</f>
        <v>1600000</v>
      </c>
      <c r="R336" s="1833">
        <v>0</v>
      </c>
      <c r="S336" s="1834">
        <f>+Q336-R336</f>
        <v>1600000</v>
      </c>
      <c r="T336" s="1835"/>
    </row>
    <row r="337" spans="1:20" ht="14.45" customHeight="1">
      <c r="A337" s="778"/>
      <c r="B337" s="786"/>
      <c r="C337" s="792"/>
      <c r="D337" s="786"/>
      <c r="E337" s="3337"/>
      <c r="F337" s="1963" t="s">
        <v>2776</v>
      </c>
      <c r="G337" s="1850">
        <v>1600000</v>
      </c>
      <c r="H337" s="1431" t="s">
        <v>21</v>
      </c>
      <c r="I337" s="1871">
        <v>1</v>
      </c>
      <c r="J337" s="1431"/>
      <c r="K337" s="1433"/>
      <c r="L337" s="1837"/>
      <c r="M337" s="1433"/>
      <c r="N337" s="1436"/>
      <c r="O337" s="1436" t="s">
        <v>1037</v>
      </c>
      <c r="P337" s="1437">
        <f>G337*I337</f>
        <v>1600000</v>
      </c>
      <c r="Q337" s="1438"/>
      <c r="R337" s="1438"/>
      <c r="S337" s="1439"/>
      <c r="T337" s="1440"/>
    </row>
    <row r="338" spans="1:20" ht="14.45" customHeight="1">
      <c r="A338" s="778"/>
      <c r="B338" s="786"/>
      <c r="C338" s="792"/>
      <c r="D338" s="786"/>
      <c r="E338" s="3337"/>
      <c r="F338" s="1827" t="s">
        <v>1932</v>
      </c>
      <c r="G338" s="1828"/>
      <c r="H338" s="1829"/>
      <c r="I338" s="1829"/>
      <c r="J338" s="1829"/>
      <c r="K338" s="1829"/>
      <c r="L338" s="1830"/>
      <c r="M338" s="1829"/>
      <c r="N338" s="1831"/>
      <c r="O338" s="1831"/>
      <c r="P338" s="1832">
        <f>SUM(P339:P340)</f>
        <v>2000000</v>
      </c>
      <c r="Q338" s="1833">
        <f>P338</f>
        <v>2000000</v>
      </c>
      <c r="R338" s="1833">
        <v>1000000</v>
      </c>
      <c r="S338" s="1834">
        <f>+Q338-R338</f>
        <v>1000000</v>
      </c>
      <c r="T338" s="1835">
        <f>+S338/R338</f>
        <v>1</v>
      </c>
    </row>
    <row r="339" spans="1:20" ht="14.45" customHeight="1">
      <c r="A339" s="778"/>
      <c r="B339" s="786"/>
      <c r="C339" s="792"/>
      <c r="D339" s="786"/>
      <c r="E339" s="3337"/>
      <c r="F339" s="1851" t="s">
        <v>2777</v>
      </c>
      <c r="G339" s="1850">
        <v>1000000</v>
      </c>
      <c r="H339" s="1431" t="s">
        <v>21</v>
      </c>
      <c r="I339" s="1871">
        <v>1</v>
      </c>
      <c r="J339" s="1431"/>
      <c r="K339" s="1433"/>
      <c r="L339" s="1837"/>
      <c r="M339" s="1433"/>
      <c r="N339" s="1436"/>
      <c r="O339" s="1436" t="s">
        <v>2706</v>
      </c>
      <c r="P339" s="1437">
        <f>G339*I339</f>
        <v>1000000</v>
      </c>
      <c r="Q339" s="1438"/>
      <c r="R339" s="1438"/>
      <c r="S339" s="1439"/>
      <c r="T339" s="1440"/>
    </row>
    <row r="340" spans="1:20" ht="14.45" customHeight="1">
      <c r="A340" s="778"/>
      <c r="B340" s="786"/>
      <c r="C340" s="792"/>
      <c r="D340" s="786"/>
      <c r="E340" s="3337"/>
      <c r="F340" s="1851" t="s">
        <v>2778</v>
      </c>
      <c r="G340" s="1850">
        <v>1000000</v>
      </c>
      <c r="H340" s="1431" t="s">
        <v>21</v>
      </c>
      <c r="I340" s="1871">
        <v>1</v>
      </c>
      <c r="J340" s="1431"/>
      <c r="K340" s="1433"/>
      <c r="L340" s="1837"/>
      <c r="M340" s="1433"/>
      <c r="N340" s="1436"/>
      <c r="O340" s="1436" t="s">
        <v>2706</v>
      </c>
      <c r="P340" s="1437">
        <f t="shared" ref="P340" si="16">G340*I340</f>
        <v>1000000</v>
      </c>
      <c r="Q340" s="1438"/>
      <c r="R340" s="1438"/>
      <c r="S340" s="1439"/>
      <c r="T340" s="1440"/>
    </row>
    <row r="341" spans="1:20" ht="14.45" customHeight="1">
      <c r="A341" s="778"/>
      <c r="B341" s="786"/>
      <c r="C341" s="792"/>
      <c r="D341" s="786"/>
      <c r="E341" s="3337"/>
      <c r="F341" s="1827" t="s">
        <v>1933</v>
      </c>
      <c r="G341" s="1828"/>
      <c r="H341" s="1829"/>
      <c r="I341" s="1829"/>
      <c r="J341" s="1829"/>
      <c r="K341" s="1829"/>
      <c r="L341" s="1830"/>
      <c r="M341" s="1829"/>
      <c r="N341" s="1831"/>
      <c r="O341" s="1831"/>
      <c r="P341" s="1832">
        <f>SUM(P342)</f>
        <v>1200000</v>
      </c>
      <c r="Q341" s="1833">
        <f>P341</f>
        <v>1200000</v>
      </c>
      <c r="R341" s="1833">
        <v>0</v>
      </c>
      <c r="S341" s="1834">
        <f>+Q341-R341</f>
        <v>1200000</v>
      </c>
      <c r="T341" s="1835"/>
    </row>
    <row r="342" spans="1:20" ht="14.45" customHeight="1">
      <c r="A342" s="778"/>
      <c r="B342" s="786"/>
      <c r="C342" s="792"/>
      <c r="D342" s="786"/>
      <c r="E342" s="3337"/>
      <c r="F342" s="3534" t="s">
        <v>3197</v>
      </c>
      <c r="G342" s="1852">
        <v>4000</v>
      </c>
      <c r="H342" s="1826" t="s">
        <v>21</v>
      </c>
      <c r="I342" s="1953">
        <v>20</v>
      </c>
      <c r="J342" s="1826" t="s">
        <v>21</v>
      </c>
      <c r="K342" s="1871">
        <v>15</v>
      </c>
      <c r="L342" s="1875"/>
      <c r="M342" s="1874"/>
      <c r="N342" s="1855"/>
      <c r="O342" s="1855" t="s">
        <v>2779</v>
      </c>
      <c r="P342" s="1839">
        <f>G342*I342*K342</f>
        <v>1200000</v>
      </c>
      <c r="Q342" s="1438"/>
      <c r="R342" s="1438"/>
      <c r="S342" s="1439"/>
      <c r="T342" s="1440"/>
    </row>
    <row r="343" spans="1:20" ht="14.45" customHeight="1">
      <c r="A343" s="778"/>
      <c r="B343" s="786"/>
      <c r="C343" s="792"/>
      <c r="D343" s="786"/>
      <c r="E343" s="3337"/>
      <c r="F343" s="1827" t="s">
        <v>1934</v>
      </c>
      <c r="G343" s="1828"/>
      <c r="H343" s="1829"/>
      <c r="I343" s="1829"/>
      <c r="J343" s="1829"/>
      <c r="K343" s="1829"/>
      <c r="L343" s="1830"/>
      <c r="M343" s="1829"/>
      <c r="N343" s="1831"/>
      <c r="O343" s="1831"/>
      <c r="P343" s="1832">
        <f>SUM(P344:P345)</f>
        <v>3500000</v>
      </c>
      <c r="Q343" s="1833">
        <f>P343</f>
        <v>3500000</v>
      </c>
      <c r="R343" s="1833">
        <v>3500000</v>
      </c>
      <c r="S343" s="1834">
        <f>+Q343-R343</f>
        <v>0</v>
      </c>
      <c r="T343" s="1835">
        <f>+S343/R343</f>
        <v>0</v>
      </c>
    </row>
    <row r="344" spans="1:20" ht="14.45" customHeight="1">
      <c r="A344" s="778"/>
      <c r="B344" s="786"/>
      <c r="C344" s="792"/>
      <c r="D344" s="786"/>
      <c r="E344" s="3337"/>
      <c r="F344" s="1851" t="s">
        <v>2780</v>
      </c>
      <c r="G344" s="1850">
        <v>200000</v>
      </c>
      <c r="H344" s="1431" t="s">
        <v>21</v>
      </c>
      <c r="I344" s="1949">
        <v>1</v>
      </c>
      <c r="J344" s="1431"/>
      <c r="K344" s="1433"/>
      <c r="L344" s="1837"/>
      <c r="M344" s="1433"/>
      <c r="N344" s="1436"/>
      <c r="O344" s="1436" t="s">
        <v>2706</v>
      </c>
      <c r="P344" s="1437">
        <f>G344*I344</f>
        <v>200000</v>
      </c>
      <c r="Q344" s="1438"/>
      <c r="R344" s="1438"/>
      <c r="S344" s="1439"/>
      <c r="T344" s="1440"/>
    </row>
    <row r="345" spans="1:20" ht="14.45" customHeight="1">
      <c r="A345" s="778"/>
      <c r="B345" s="786"/>
      <c r="C345" s="792"/>
      <c r="D345" s="786"/>
      <c r="E345" s="3337"/>
      <c r="F345" s="1851" t="s">
        <v>2781</v>
      </c>
      <c r="G345" s="1850">
        <v>3300000</v>
      </c>
      <c r="H345" s="1431" t="s">
        <v>21</v>
      </c>
      <c r="I345" s="1949">
        <v>1</v>
      </c>
      <c r="J345" s="1431"/>
      <c r="K345" s="1433"/>
      <c r="L345" s="1837"/>
      <c r="M345" s="1433"/>
      <c r="N345" s="1436"/>
      <c r="O345" s="1436" t="s">
        <v>2706</v>
      </c>
      <c r="P345" s="1437">
        <f>G345*I345</f>
        <v>3300000</v>
      </c>
      <c r="Q345" s="1438"/>
      <c r="R345" s="1438"/>
      <c r="S345" s="1439"/>
      <c r="T345" s="1440"/>
    </row>
    <row r="346" spans="1:20" ht="14.45" customHeight="1">
      <c r="A346" s="778"/>
      <c r="B346" s="786"/>
      <c r="C346" s="792"/>
      <c r="D346" s="786"/>
      <c r="E346" s="3337"/>
      <c r="F346" s="1827" t="s">
        <v>1935</v>
      </c>
      <c r="G346" s="1828"/>
      <c r="H346" s="1829"/>
      <c r="I346" s="1829"/>
      <c r="J346" s="1829"/>
      <c r="K346" s="1829"/>
      <c r="L346" s="1830"/>
      <c r="M346" s="1829"/>
      <c r="N346" s="1831"/>
      <c r="O346" s="1831"/>
      <c r="P346" s="1832">
        <f>SUM(P347:P348)</f>
        <v>2000000</v>
      </c>
      <c r="Q346" s="1833">
        <f>P346</f>
        <v>2000000</v>
      </c>
      <c r="R346" s="1833">
        <v>2000000</v>
      </c>
      <c r="S346" s="1834">
        <f>+Q346-R346</f>
        <v>0</v>
      </c>
      <c r="T346" s="1835">
        <f>+S346/R346</f>
        <v>0</v>
      </c>
    </row>
    <row r="347" spans="1:20" ht="14.45" customHeight="1">
      <c r="A347" s="778"/>
      <c r="B347" s="786"/>
      <c r="C347" s="792"/>
      <c r="D347" s="786"/>
      <c r="E347" s="3337"/>
      <c r="F347" s="1851" t="s">
        <v>2782</v>
      </c>
      <c r="G347" s="1850">
        <v>1200000</v>
      </c>
      <c r="H347" s="1431" t="s">
        <v>21</v>
      </c>
      <c r="I347" s="1871">
        <v>1</v>
      </c>
      <c r="J347" s="1431"/>
      <c r="K347" s="1433"/>
      <c r="L347" s="1837"/>
      <c r="M347" s="1433"/>
      <c r="N347" s="1436"/>
      <c r="O347" s="1436" t="s">
        <v>2706</v>
      </c>
      <c r="P347" s="1437">
        <f t="shared" ref="P347:P348" si="17">G347*I347</f>
        <v>1200000</v>
      </c>
      <c r="Q347" s="1438"/>
      <c r="R347" s="1438"/>
      <c r="S347" s="1439"/>
      <c r="T347" s="1440"/>
    </row>
    <row r="348" spans="1:20" ht="14.45" customHeight="1">
      <c r="A348" s="778"/>
      <c r="B348" s="786"/>
      <c r="C348" s="792"/>
      <c r="D348" s="786"/>
      <c r="E348" s="3337"/>
      <c r="F348" s="1851" t="s">
        <v>2783</v>
      </c>
      <c r="G348" s="1850">
        <v>800000</v>
      </c>
      <c r="H348" s="1431" t="s">
        <v>21</v>
      </c>
      <c r="I348" s="1871">
        <v>1</v>
      </c>
      <c r="J348" s="1431"/>
      <c r="K348" s="1433"/>
      <c r="L348" s="1837"/>
      <c r="M348" s="1433"/>
      <c r="N348" s="1436"/>
      <c r="O348" s="1436" t="s">
        <v>2757</v>
      </c>
      <c r="P348" s="1437">
        <f t="shared" si="17"/>
        <v>800000</v>
      </c>
      <c r="Q348" s="1438"/>
      <c r="R348" s="1438"/>
      <c r="S348" s="1439"/>
      <c r="T348" s="1440"/>
    </row>
    <row r="349" spans="1:20" ht="14.45" customHeight="1">
      <c r="A349" s="778"/>
      <c r="B349" s="786"/>
      <c r="C349" s="792"/>
      <c r="D349" s="786"/>
      <c r="E349" s="3337"/>
      <c r="F349" s="1827" t="s">
        <v>1936</v>
      </c>
      <c r="G349" s="1828" t="s">
        <v>1799</v>
      </c>
      <c r="H349" s="1829"/>
      <c r="I349" s="1829"/>
      <c r="J349" s="1829"/>
      <c r="K349" s="1829"/>
      <c r="L349" s="1830"/>
      <c r="M349" s="1829"/>
      <c r="N349" s="1831"/>
      <c r="O349" s="1831"/>
      <c r="P349" s="1832">
        <f>SUM(P350:P353)</f>
        <v>20000000</v>
      </c>
      <c r="Q349" s="1833">
        <f>P349</f>
        <v>20000000</v>
      </c>
      <c r="R349" s="1833">
        <v>20000000</v>
      </c>
      <c r="S349" s="1834">
        <f>+Q349-R349</f>
        <v>0</v>
      </c>
      <c r="T349" s="1835">
        <f>+S349/R349</f>
        <v>0</v>
      </c>
    </row>
    <row r="350" spans="1:20" ht="14.45" customHeight="1">
      <c r="A350" s="778"/>
      <c r="B350" s="786"/>
      <c r="C350" s="792"/>
      <c r="D350" s="1010"/>
      <c r="E350" s="3347"/>
      <c r="F350" s="1851" t="s">
        <v>2784</v>
      </c>
      <c r="G350" s="1850">
        <v>1000000</v>
      </c>
      <c r="H350" s="1431" t="s">
        <v>21</v>
      </c>
      <c r="I350" s="1871">
        <v>1</v>
      </c>
      <c r="J350" s="1431"/>
      <c r="K350" s="1433"/>
      <c r="L350" s="1837"/>
      <c r="M350" s="1433"/>
      <c r="N350" s="1436"/>
      <c r="O350" s="1436" t="s">
        <v>2706</v>
      </c>
      <c r="P350" s="1437">
        <f>G350*I350</f>
        <v>1000000</v>
      </c>
      <c r="Q350" s="1438"/>
      <c r="R350" s="1438"/>
      <c r="S350" s="1439"/>
      <c r="T350" s="1440"/>
    </row>
    <row r="351" spans="1:20" ht="14.45" customHeight="1">
      <c r="A351" s="778"/>
      <c r="B351" s="786"/>
      <c r="C351" s="792"/>
      <c r="D351" s="1010"/>
      <c r="E351" s="3347"/>
      <c r="F351" s="1851" t="s">
        <v>2785</v>
      </c>
      <c r="G351" s="1850">
        <v>10000000</v>
      </c>
      <c r="H351" s="1431" t="s">
        <v>21</v>
      </c>
      <c r="I351" s="1871">
        <v>1</v>
      </c>
      <c r="J351" s="1431"/>
      <c r="K351" s="1433"/>
      <c r="L351" s="1837"/>
      <c r="M351" s="1433"/>
      <c r="N351" s="1436"/>
      <c r="O351" s="1436" t="s">
        <v>2706</v>
      </c>
      <c r="P351" s="1437">
        <f t="shared" ref="P351:P353" si="18">G351*I351</f>
        <v>10000000</v>
      </c>
      <c r="Q351" s="1438"/>
      <c r="R351" s="1438"/>
      <c r="S351" s="1439"/>
      <c r="T351" s="1440"/>
    </row>
    <row r="352" spans="1:20" ht="13.5" customHeight="1">
      <c r="A352" s="778"/>
      <c r="B352" s="786"/>
      <c r="C352" s="792"/>
      <c r="D352" s="1010"/>
      <c r="E352" s="3347"/>
      <c r="F352" s="1851" t="s">
        <v>2786</v>
      </c>
      <c r="G352" s="1850">
        <v>7000000</v>
      </c>
      <c r="H352" s="1431" t="s">
        <v>21</v>
      </c>
      <c r="I352" s="1871">
        <v>1</v>
      </c>
      <c r="J352" s="1431" t="s">
        <v>2787</v>
      </c>
      <c r="K352" s="1871"/>
      <c r="L352" s="1837"/>
      <c r="M352" s="1433"/>
      <c r="N352" s="1436"/>
      <c r="O352" s="1436" t="s">
        <v>1781</v>
      </c>
      <c r="P352" s="1437">
        <f t="shared" si="18"/>
        <v>7000000</v>
      </c>
      <c r="Q352" s="1438"/>
      <c r="R352" s="1438"/>
      <c r="S352" s="1439"/>
      <c r="T352" s="1440"/>
    </row>
    <row r="353" spans="1:20" ht="14.45" customHeight="1">
      <c r="A353" s="778"/>
      <c r="B353" s="786"/>
      <c r="C353" s="792"/>
      <c r="D353" s="1010"/>
      <c r="E353" s="3347"/>
      <c r="F353" s="1851" t="s">
        <v>2788</v>
      </c>
      <c r="G353" s="1850">
        <v>2000000</v>
      </c>
      <c r="H353" s="1431" t="s">
        <v>21</v>
      </c>
      <c r="I353" s="1871">
        <v>1</v>
      </c>
      <c r="J353" s="1431"/>
      <c r="K353" s="1871"/>
      <c r="L353" s="1837"/>
      <c r="M353" s="1433"/>
      <c r="N353" s="1436"/>
      <c r="O353" s="1436" t="s">
        <v>2706</v>
      </c>
      <c r="P353" s="1437">
        <f t="shared" si="18"/>
        <v>2000000</v>
      </c>
      <c r="Q353" s="1438"/>
      <c r="R353" s="1438"/>
      <c r="S353" s="1439"/>
      <c r="T353" s="1440"/>
    </row>
    <row r="354" spans="1:20" ht="14.45" customHeight="1">
      <c r="A354" s="778"/>
      <c r="B354" s="786"/>
      <c r="C354" s="792"/>
      <c r="D354" s="1010"/>
      <c r="E354" s="3347"/>
      <c r="F354" s="1827" t="s">
        <v>2909</v>
      </c>
      <c r="G354" s="1828" t="s">
        <v>1799</v>
      </c>
      <c r="H354" s="1829"/>
      <c r="I354" s="1829"/>
      <c r="J354" s="1829"/>
      <c r="K354" s="1829"/>
      <c r="L354" s="1830"/>
      <c r="M354" s="1829"/>
      <c r="N354" s="1831"/>
      <c r="O354" s="1831"/>
      <c r="P354" s="1832"/>
      <c r="Q354" s="1833">
        <f>P354</f>
        <v>0</v>
      </c>
      <c r="R354" s="1833">
        <v>500000</v>
      </c>
      <c r="S354" s="1834">
        <f>+Q354-R354</f>
        <v>-500000</v>
      </c>
      <c r="T354" s="1835">
        <f>+S354/R354</f>
        <v>-1</v>
      </c>
    </row>
    <row r="355" spans="1:20" s="691" customFormat="1" ht="15" customHeight="1">
      <c r="A355" s="1890"/>
      <c r="B355" s="786"/>
      <c r="C355" s="1964"/>
      <c r="D355" s="1964"/>
      <c r="E355" s="3637" t="s">
        <v>3138</v>
      </c>
      <c r="F355" s="3638"/>
      <c r="G355" s="3638"/>
      <c r="H355" s="3638"/>
      <c r="I355" s="3638"/>
      <c r="J355" s="3638"/>
      <c r="K355" s="3638"/>
      <c r="L355" s="3638"/>
      <c r="M355" s="3638"/>
      <c r="N355" s="3638"/>
      <c r="O355" s="3638"/>
      <c r="P355" s="3639"/>
      <c r="Q355" s="1426">
        <f>ROUNDUP(P356+P359,-3)</f>
        <v>1990000</v>
      </c>
      <c r="R355" s="1426">
        <f>SUM(R356:R363)</f>
        <v>3320000</v>
      </c>
      <c r="S355" s="1427">
        <f>Q355-R355</f>
        <v>-1330000</v>
      </c>
      <c r="T355" s="1428">
        <f>S355/R355</f>
        <v>-0.4006024096385542</v>
      </c>
    </row>
    <row r="356" spans="1:20" s="691" customFormat="1" ht="15" customHeight="1">
      <c r="A356" s="1890"/>
      <c r="B356" s="786"/>
      <c r="C356" s="1964"/>
      <c r="D356" s="1964"/>
      <c r="E356" s="3348"/>
      <c r="F356" s="1827" t="s">
        <v>1937</v>
      </c>
      <c r="G356" s="1828"/>
      <c r="H356" s="1829"/>
      <c r="I356" s="1829"/>
      <c r="J356" s="1829"/>
      <c r="K356" s="1829"/>
      <c r="L356" s="1830"/>
      <c r="M356" s="1829"/>
      <c r="N356" s="1831"/>
      <c r="O356" s="1831"/>
      <c r="P356" s="1832">
        <f>SUM(P357:P358)</f>
        <v>1000000</v>
      </c>
      <c r="Q356" s="1833">
        <f>P356</f>
        <v>1000000</v>
      </c>
      <c r="R356" s="1833">
        <v>1000000</v>
      </c>
      <c r="S356" s="1834">
        <f>+Q356-R356</f>
        <v>0</v>
      </c>
      <c r="T356" s="1835">
        <f>+S356/R356</f>
        <v>0</v>
      </c>
    </row>
    <row r="357" spans="1:20" s="691" customFormat="1" ht="15" customHeight="1">
      <c r="A357" s="1890"/>
      <c r="B357" s="786"/>
      <c r="C357" s="1964"/>
      <c r="D357" s="1964"/>
      <c r="E357" s="3348"/>
      <c r="F357" s="3534" t="s">
        <v>3198</v>
      </c>
      <c r="G357" s="1850">
        <v>400000</v>
      </c>
      <c r="H357" s="1431" t="s">
        <v>21</v>
      </c>
      <c r="I357" s="1871">
        <v>1</v>
      </c>
      <c r="J357" s="1431"/>
      <c r="K357" s="1433"/>
      <c r="L357" s="1837"/>
      <c r="M357" s="1433"/>
      <c r="N357" s="1436"/>
      <c r="O357" s="1436" t="s">
        <v>2706</v>
      </c>
      <c r="P357" s="1437">
        <f>G357*I357</f>
        <v>400000</v>
      </c>
      <c r="Q357" s="1438"/>
      <c r="R357" s="1438"/>
      <c r="S357" s="1439"/>
      <c r="T357" s="1870"/>
    </row>
    <row r="358" spans="1:20" s="691" customFormat="1" ht="15" customHeight="1">
      <c r="A358" s="1890"/>
      <c r="B358" s="786"/>
      <c r="C358" s="1964"/>
      <c r="D358" s="1964"/>
      <c r="E358" s="3348"/>
      <c r="F358" s="1851" t="s">
        <v>2789</v>
      </c>
      <c r="G358" s="1850">
        <v>600000</v>
      </c>
      <c r="H358" s="1982" t="s">
        <v>21</v>
      </c>
      <c r="I358" s="1871">
        <v>1</v>
      </c>
      <c r="J358" s="1431"/>
      <c r="K358" s="1433"/>
      <c r="L358" s="1837"/>
      <c r="M358" s="1433"/>
      <c r="N358" s="1436"/>
      <c r="O358" s="1436" t="s">
        <v>2706</v>
      </c>
      <c r="P358" s="1437">
        <f>G358*I358</f>
        <v>600000</v>
      </c>
      <c r="Q358" s="1438"/>
      <c r="R358" s="1438"/>
      <c r="S358" s="1439"/>
      <c r="T358" s="1870"/>
    </row>
    <row r="359" spans="1:20" s="691" customFormat="1" ht="15" customHeight="1">
      <c r="A359" s="1890"/>
      <c r="B359" s="786"/>
      <c r="C359" s="1964"/>
      <c r="D359" s="1964"/>
      <c r="E359" s="3348"/>
      <c r="F359" s="1827" t="s">
        <v>1939</v>
      </c>
      <c r="G359" s="1828"/>
      <c r="H359" s="1829"/>
      <c r="I359" s="1829"/>
      <c r="J359" s="1829"/>
      <c r="K359" s="1829"/>
      <c r="L359" s="1830"/>
      <c r="M359" s="1829"/>
      <c r="N359" s="1831"/>
      <c r="O359" s="1831"/>
      <c r="P359" s="1832">
        <f>SUM(P360:P362)</f>
        <v>990000</v>
      </c>
      <c r="Q359" s="1833">
        <f>P359</f>
        <v>990000</v>
      </c>
      <c r="R359" s="1833">
        <v>0</v>
      </c>
      <c r="S359" s="1834">
        <f>+Q359-R359</f>
        <v>990000</v>
      </c>
      <c r="T359" s="1835"/>
    </row>
    <row r="360" spans="1:20" s="691" customFormat="1" ht="15" customHeight="1">
      <c r="A360" s="3063"/>
      <c r="B360" s="846"/>
      <c r="C360" s="1965"/>
      <c r="D360" s="1965"/>
      <c r="E360" s="3349"/>
      <c r="F360" s="1950" t="s">
        <v>2790</v>
      </c>
      <c r="G360" s="1857">
        <v>400000</v>
      </c>
      <c r="H360" s="1862" t="s">
        <v>21</v>
      </c>
      <c r="I360" s="1952">
        <v>1</v>
      </c>
      <c r="J360" s="1862"/>
      <c r="K360" s="1977"/>
      <c r="L360" s="3064"/>
      <c r="M360" s="3065"/>
      <c r="N360" s="1863"/>
      <c r="O360" s="1863" t="s">
        <v>2791</v>
      </c>
      <c r="P360" s="1864">
        <f>G360*I360</f>
        <v>400000</v>
      </c>
      <c r="Q360" s="1913"/>
      <c r="R360" s="1913"/>
      <c r="S360" s="1914"/>
      <c r="T360" s="3066"/>
    </row>
    <row r="361" spans="1:20" s="691" customFormat="1" ht="15" customHeight="1">
      <c r="A361" s="1890"/>
      <c r="B361" s="786"/>
      <c r="C361" s="1964"/>
      <c r="D361" s="1964"/>
      <c r="E361" s="3348"/>
      <c r="F361" s="1851" t="s">
        <v>2792</v>
      </c>
      <c r="G361" s="1852">
        <v>154000</v>
      </c>
      <c r="H361" s="1826" t="s">
        <v>21</v>
      </c>
      <c r="I361" s="1871">
        <v>1</v>
      </c>
      <c r="J361" s="1826"/>
      <c r="K361" s="1949"/>
      <c r="L361" s="1875"/>
      <c r="M361" s="1874"/>
      <c r="N361" s="1855"/>
      <c r="O361" s="1855" t="s">
        <v>2793</v>
      </c>
      <c r="P361" s="1839">
        <f t="shared" ref="P361:P362" si="19">G361*I361</f>
        <v>154000</v>
      </c>
      <c r="Q361" s="1438"/>
      <c r="R361" s="1438"/>
      <c r="S361" s="1439"/>
      <c r="T361" s="1870"/>
    </row>
    <row r="362" spans="1:20" s="691" customFormat="1" ht="15" customHeight="1">
      <c r="A362" s="1890"/>
      <c r="B362" s="1964"/>
      <c r="C362" s="1964"/>
      <c r="D362" s="1964"/>
      <c r="E362" s="3348"/>
      <c r="F362" s="1851" t="s">
        <v>2794</v>
      </c>
      <c r="G362" s="1852">
        <v>436000</v>
      </c>
      <c r="H362" s="1826" t="s">
        <v>21</v>
      </c>
      <c r="I362" s="1871">
        <v>1</v>
      </c>
      <c r="J362" s="1826"/>
      <c r="K362" s="1874"/>
      <c r="L362" s="1875"/>
      <c r="M362" s="1874"/>
      <c r="N362" s="1855"/>
      <c r="O362" s="1855" t="s">
        <v>1781</v>
      </c>
      <c r="P362" s="1839">
        <f t="shared" si="19"/>
        <v>436000</v>
      </c>
      <c r="Q362" s="1438"/>
      <c r="R362" s="1438"/>
      <c r="S362" s="1439"/>
      <c r="T362" s="1870"/>
    </row>
    <row r="363" spans="1:20" s="691" customFormat="1" ht="15" customHeight="1">
      <c r="A363" s="1890"/>
      <c r="B363" s="1964"/>
      <c r="C363" s="1964"/>
      <c r="D363" s="1964"/>
      <c r="E363" s="3348"/>
      <c r="F363" s="1827" t="s">
        <v>2910</v>
      </c>
      <c r="G363" s="1828"/>
      <c r="H363" s="1829"/>
      <c r="I363" s="1829"/>
      <c r="J363" s="1829"/>
      <c r="K363" s="1829"/>
      <c r="L363" s="1830"/>
      <c r="M363" s="1829"/>
      <c r="N363" s="1831"/>
      <c r="O363" s="1831"/>
      <c r="P363" s="1832"/>
      <c r="Q363" s="1833">
        <f>P363</f>
        <v>0</v>
      </c>
      <c r="R363" s="1833">
        <v>2320000</v>
      </c>
      <c r="S363" s="1834">
        <f>+Q363-R363</f>
        <v>-2320000</v>
      </c>
      <c r="T363" s="1835">
        <f>+S363/R363</f>
        <v>-1</v>
      </c>
    </row>
    <row r="364" spans="1:20" s="1137" customFormat="1" ht="15" customHeight="1">
      <c r="A364" s="1890"/>
      <c r="B364" s="1964"/>
      <c r="C364" s="1964"/>
      <c r="D364" s="1964"/>
      <c r="E364" s="3637" t="s">
        <v>3139</v>
      </c>
      <c r="F364" s="3638"/>
      <c r="G364" s="3638"/>
      <c r="H364" s="3638"/>
      <c r="I364" s="3638"/>
      <c r="J364" s="3638"/>
      <c r="K364" s="3638"/>
      <c r="L364" s="3638"/>
      <c r="M364" s="3638"/>
      <c r="N364" s="3638"/>
      <c r="O364" s="3638"/>
      <c r="P364" s="3639"/>
      <c r="Q364" s="1426">
        <f>ROUNDUP(P365,-3)</f>
        <v>49500000</v>
      </c>
      <c r="R364" s="1426">
        <v>49500000</v>
      </c>
      <c r="S364" s="1427">
        <f>Q364-R364</f>
        <v>0</v>
      </c>
      <c r="T364" s="1428">
        <f>S364/R364</f>
        <v>0</v>
      </c>
    </row>
    <row r="365" spans="1:20" s="1137" customFormat="1" ht="15" customHeight="1">
      <c r="A365" s="1890"/>
      <c r="B365" s="1964"/>
      <c r="C365" s="1964"/>
      <c r="D365" s="1964"/>
      <c r="E365" s="3347"/>
      <c r="F365" s="1827" t="s">
        <v>1940</v>
      </c>
      <c r="G365" s="1828"/>
      <c r="H365" s="1829"/>
      <c r="I365" s="1829"/>
      <c r="J365" s="1829"/>
      <c r="K365" s="1829"/>
      <c r="L365" s="1830"/>
      <c r="M365" s="1829"/>
      <c r="N365" s="1831"/>
      <c r="O365" s="1831"/>
      <c r="P365" s="1832">
        <f>SUM(P366:P367)</f>
        <v>49500000</v>
      </c>
      <c r="Q365" s="1833">
        <f>P365</f>
        <v>49500000</v>
      </c>
      <c r="R365" s="1833">
        <v>49500000</v>
      </c>
      <c r="S365" s="1834">
        <f>+Q365-R365</f>
        <v>0</v>
      </c>
      <c r="T365" s="1835">
        <f>+S365/R365</f>
        <v>0</v>
      </c>
    </row>
    <row r="366" spans="1:20" s="1137" customFormat="1" ht="15" customHeight="1">
      <c r="A366" s="1890"/>
      <c r="B366" s="1964"/>
      <c r="C366" s="1964"/>
      <c r="D366" s="1964"/>
      <c r="E366" s="3347"/>
      <c r="F366" s="1956" t="s">
        <v>1941</v>
      </c>
      <c r="G366" s="1957">
        <v>4000000</v>
      </c>
      <c r="H366" s="1958" t="s">
        <v>21</v>
      </c>
      <c r="I366" s="1955">
        <v>12</v>
      </c>
      <c r="J366" s="1431"/>
      <c r="K366" s="1433"/>
      <c r="L366" s="1837"/>
      <c r="M366" s="1433"/>
      <c r="N366" s="1436"/>
      <c r="O366" s="1436" t="s">
        <v>1802</v>
      </c>
      <c r="P366" s="1437">
        <f>G366*I366</f>
        <v>48000000</v>
      </c>
      <c r="Q366" s="1438"/>
      <c r="R366" s="1438"/>
      <c r="S366" s="1439"/>
      <c r="T366" s="1440"/>
    </row>
    <row r="367" spans="1:20" s="1137" customFormat="1" ht="15" customHeight="1">
      <c r="A367" s="1890"/>
      <c r="B367" s="1964"/>
      <c r="C367" s="1964"/>
      <c r="D367" s="1964"/>
      <c r="E367" s="3347"/>
      <c r="F367" s="1956" t="s">
        <v>1942</v>
      </c>
      <c r="G367" s="1957">
        <v>1500000</v>
      </c>
      <c r="H367" s="1958" t="s">
        <v>21</v>
      </c>
      <c r="I367" s="1840">
        <v>1</v>
      </c>
      <c r="J367" s="1431"/>
      <c r="K367" s="1433"/>
      <c r="L367" s="1837"/>
      <c r="M367" s="1433"/>
      <c r="N367" s="1436"/>
      <c r="O367" s="1436" t="s">
        <v>1943</v>
      </c>
      <c r="P367" s="1437">
        <f>G367*I367</f>
        <v>1500000</v>
      </c>
      <c r="Q367" s="1438"/>
      <c r="R367" s="1438"/>
      <c r="S367" s="1439"/>
      <c r="T367" s="1440"/>
    </row>
    <row r="368" spans="1:20" s="1137" customFormat="1" ht="15" customHeight="1">
      <c r="A368" s="1890"/>
      <c r="B368" s="1964"/>
      <c r="C368" s="1964"/>
      <c r="D368" s="1964"/>
      <c r="E368" s="3637" t="s">
        <v>3140</v>
      </c>
      <c r="F368" s="3638"/>
      <c r="G368" s="3638"/>
      <c r="H368" s="3638"/>
      <c r="I368" s="3638"/>
      <c r="J368" s="3638"/>
      <c r="K368" s="3638"/>
      <c r="L368" s="3638"/>
      <c r="M368" s="3638"/>
      <c r="N368" s="3638"/>
      <c r="O368" s="3638"/>
      <c r="P368" s="3639"/>
      <c r="Q368" s="1426">
        <f>ROUNDUP(P369,-3)</f>
        <v>6000000</v>
      </c>
      <c r="R368" s="1426">
        <v>11000000</v>
      </c>
      <c r="S368" s="1427">
        <f>Q368-R368</f>
        <v>-5000000</v>
      </c>
      <c r="T368" s="1428">
        <f>S368/R368</f>
        <v>-0.45454545454545453</v>
      </c>
    </row>
    <row r="369" spans="1:20" s="1137" customFormat="1" ht="15" customHeight="1">
      <c r="A369" s="1890"/>
      <c r="B369" s="1891"/>
      <c r="C369" s="1964"/>
      <c r="D369" s="1964"/>
      <c r="E369" s="3347"/>
      <c r="F369" s="1827" t="s">
        <v>1944</v>
      </c>
      <c r="G369" s="1828"/>
      <c r="H369" s="1829"/>
      <c r="I369" s="1829"/>
      <c r="J369" s="1829"/>
      <c r="K369" s="1829"/>
      <c r="L369" s="1830"/>
      <c r="M369" s="1829"/>
      <c r="N369" s="1831"/>
      <c r="O369" s="1831"/>
      <c r="P369" s="1832">
        <f>SUM(P370)</f>
        <v>6000000</v>
      </c>
      <c r="Q369" s="1833">
        <f>P369</f>
        <v>6000000</v>
      </c>
      <c r="R369" s="1833">
        <v>11000000</v>
      </c>
      <c r="S369" s="1834">
        <f>+Q369-R369</f>
        <v>-5000000</v>
      </c>
      <c r="T369" s="1835">
        <f>+S369/R369</f>
        <v>-0.45454545454545453</v>
      </c>
    </row>
    <row r="370" spans="1:20" s="1137" customFormat="1" ht="15" customHeight="1">
      <c r="A370" s="1890"/>
      <c r="B370" s="1891"/>
      <c r="C370" s="1964"/>
      <c r="D370" s="1964"/>
      <c r="E370" s="3347"/>
      <c r="F370" s="1956" t="s">
        <v>1945</v>
      </c>
      <c r="G370" s="1957">
        <v>6000000</v>
      </c>
      <c r="H370" s="1958" t="s">
        <v>21</v>
      </c>
      <c r="I370" s="1840">
        <v>1</v>
      </c>
      <c r="J370" s="1431"/>
      <c r="K370" s="1433"/>
      <c r="L370" s="1837"/>
      <c r="M370" s="1433"/>
      <c r="N370" s="1436"/>
      <c r="O370" s="1436" t="s">
        <v>1938</v>
      </c>
      <c r="P370" s="1437">
        <f>G370*I370</f>
        <v>6000000</v>
      </c>
      <c r="Q370" s="1438"/>
      <c r="R370" s="1438"/>
      <c r="S370" s="1439"/>
      <c r="T370" s="1440"/>
    </row>
    <row r="371" spans="1:20" s="1137" customFormat="1" ht="15" customHeight="1">
      <c r="A371" s="1890"/>
      <c r="B371" s="1891"/>
      <c r="C371" s="1964"/>
      <c r="D371" s="1964"/>
      <c r="E371" s="3637" t="s">
        <v>3141</v>
      </c>
      <c r="F371" s="3638"/>
      <c r="G371" s="3638"/>
      <c r="H371" s="3638"/>
      <c r="I371" s="3638"/>
      <c r="J371" s="3638"/>
      <c r="K371" s="3638"/>
      <c r="L371" s="3638"/>
      <c r="M371" s="3638"/>
      <c r="N371" s="3638"/>
      <c r="O371" s="3638"/>
      <c r="P371" s="3639"/>
      <c r="Q371" s="1426">
        <f>ROUNDUP(P372,-3)</f>
        <v>1000000</v>
      </c>
      <c r="R371" s="1426">
        <v>1000000</v>
      </c>
      <c r="S371" s="1427">
        <f>Q371-R371</f>
        <v>0</v>
      </c>
      <c r="T371" s="1428">
        <f>S371/R371</f>
        <v>0</v>
      </c>
    </row>
    <row r="372" spans="1:20" s="1137" customFormat="1" ht="15" customHeight="1">
      <c r="A372" s="1890"/>
      <c r="B372" s="1891"/>
      <c r="C372" s="1964"/>
      <c r="D372" s="1964"/>
      <c r="E372" s="3347"/>
      <c r="F372" s="1827" t="s">
        <v>1946</v>
      </c>
      <c r="G372" s="1828"/>
      <c r="H372" s="1829"/>
      <c r="I372" s="1829"/>
      <c r="J372" s="1829"/>
      <c r="K372" s="1829"/>
      <c r="L372" s="1830"/>
      <c r="M372" s="1829"/>
      <c r="N372" s="1831"/>
      <c r="O372" s="1831"/>
      <c r="P372" s="1832">
        <f>SUM(P373)</f>
        <v>1000000</v>
      </c>
      <c r="Q372" s="1833">
        <f>P372</f>
        <v>1000000</v>
      </c>
      <c r="R372" s="1833">
        <v>1000000</v>
      </c>
      <c r="S372" s="1834">
        <f>+Q372-R372</f>
        <v>0</v>
      </c>
      <c r="T372" s="1835">
        <f>+S372/R372</f>
        <v>0</v>
      </c>
    </row>
    <row r="373" spans="1:20" s="1137" customFormat="1" ht="15" customHeight="1">
      <c r="A373" s="1890"/>
      <c r="B373" s="1891"/>
      <c r="C373" s="1965"/>
      <c r="D373" s="1965"/>
      <c r="E373" s="3350"/>
      <c r="F373" s="1966" t="s">
        <v>1947</v>
      </c>
      <c r="G373" s="1951">
        <v>1000000</v>
      </c>
      <c r="H373" s="1967" t="s">
        <v>21</v>
      </c>
      <c r="I373" s="1968">
        <v>1</v>
      </c>
      <c r="J373" s="1908"/>
      <c r="K373" s="1909"/>
      <c r="L373" s="1910"/>
      <c r="M373" s="1909"/>
      <c r="N373" s="1911"/>
      <c r="O373" s="1911" t="s">
        <v>1948</v>
      </c>
      <c r="P373" s="1912">
        <f>G373*I373</f>
        <v>1000000</v>
      </c>
      <c r="Q373" s="1913"/>
      <c r="R373" s="1913"/>
      <c r="S373" s="1914"/>
      <c r="T373" s="1915"/>
    </row>
    <row r="374" spans="1:20" ht="14.45" customHeight="1">
      <c r="A374" s="778"/>
      <c r="B374" s="786"/>
      <c r="C374" s="3685" t="s">
        <v>1887</v>
      </c>
      <c r="D374" s="3686"/>
      <c r="E374" s="3686"/>
      <c r="F374" s="3686"/>
      <c r="G374" s="3686"/>
      <c r="H374" s="3686"/>
      <c r="I374" s="3686"/>
      <c r="J374" s="3686"/>
      <c r="K374" s="3686"/>
      <c r="L374" s="3686"/>
      <c r="M374" s="3686"/>
      <c r="N374" s="3686"/>
      <c r="O374" s="3686"/>
      <c r="P374" s="3687"/>
      <c r="Q374" s="866">
        <f>Q375</f>
        <v>50000000</v>
      </c>
      <c r="R374" s="866">
        <f>R375</f>
        <v>0</v>
      </c>
      <c r="S374" s="924">
        <f>+Q374-R374</f>
        <v>50000000</v>
      </c>
      <c r="T374" s="925"/>
    </row>
    <row r="375" spans="1:20" ht="14.45" customHeight="1">
      <c r="A375" s="778"/>
      <c r="B375" s="786"/>
      <c r="C375" s="786"/>
      <c r="D375" s="684" t="s">
        <v>1886</v>
      </c>
      <c r="E375" s="2229"/>
      <c r="F375" s="1269"/>
      <c r="G375" s="1971"/>
      <c r="H375" s="716"/>
      <c r="I375" s="1972"/>
      <c r="J375" s="716"/>
      <c r="K375" s="1973"/>
      <c r="L375" s="1974"/>
      <c r="M375" s="1974"/>
      <c r="N375" s="1974"/>
      <c r="O375" s="718"/>
      <c r="P375" s="1975"/>
      <c r="Q375" s="638">
        <f>Q376+Q379</f>
        <v>50000000</v>
      </c>
      <c r="R375" s="638">
        <f>R376+R379</f>
        <v>0</v>
      </c>
      <c r="S375" s="639">
        <f>+Q375-R375</f>
        <v>50000000</v>
      </c>
      <c r="T375" s="1825"/>
    </row>
    <row r="376" spans="1:20" ht="14.45" customHeight="1">
      <c r="A376" s="778"/>
      <c r="B376" s="786"/>
      <c r="C376" s="792"/>
      <c r="D376" s="844"/>
      <c r="E376" s="3637" t="s">
        <v>3012</v>
      </c>
      <c r="F376" s="3638"/>
      <c r="G376" s="3638"/>
      <c r="H376" s="3638"/>
      <c r="I376" s="3638"/>
      <c r="J376" s="3638"/>
      <c r="K376" s="3638"/>
      <c r="L376" s="3638"/>
      <c r="M376" s="3638"/>
      <c r="N376" s="3638"/>
      <c r="O376" s="3638"/>
      <c r="P376" s="3639"/>
      <c r="Q376" s="645">
        <f>P377</f>
        <v>20000000</v>
      </c>
      <c r="R376" s="645">
        <v>0</v>
      </c>
      <c r="S376" s="646">
        <f>+Q376-R376</f>
        <v>20000000</v>
      </c>
      <c r="T376" s="647"/>
    </row>
    <row r="377" spans="1:20" ht="14.45" customHeight="1">
      <c r="A377" s="778"/>
      <c r="B377" s="786"/>
      <c r="C377" s="792"/>
      <c r="D377" s="786"/>
      <c r="E377" s="1164"/>
      <c r="F377" s="1035" t="s">
        <v>1890</v>
      </c>
      <c r="G377" s="1976"/>
      <c r="H377" s="1976"/>
      <c r="I377" s="1976"/>
      <c r="J377" s="1976"/>
      <c r="K377" s="1976"/>
      <c r="L377" s="1976"/>
      <c r="M377" s="1976"/>
      <c r="N377" s="1976"/>
      <c r="O377" s="1976"/>
      <c r="P377" s="1134">
        <f>SUM(P378)</f>
        <v>20000000</v>
      </c>
      <c r="Q377" s="1833">
        <f>P377</f>
        <v>20000000</v>
      </c>
      <c r="R377" s="1833">
        <v>0</v>
      </c>
      <c r="S377" s="1834">
        <f>+Q377-R377</f>
        <v>20000000</v>
      </c>
      <c r="T377" s="1835"/>
    </row>
    <row r="378" spans="1:20" ht="14.45" customHeight="1">
      <c r="A378" s="778"/>
      <c r="B378" s="786"/>
      <c r="C378" s="792"/>
      <c r="D378" s="786"/>
      <c r="F378" s="847" t="s">
        <v>1891</v>
      </c>
      <c r="G378" s="855">
        <v>20000000</v>
      </c>
      <c r="H378" s="845" t="s">
        <v>125</v>
      </c>
      <c r="I378" s="1977">
        <v>1</v>
      </c>
      <c r="J378" s="845"/>
      <c r="K378" s="1978"/>
      <c r="L378" s="1979"/>
      <c r="M378" s="1979"/>
      <c r="N378" s="1979"/>
      <c r="O378" s="922" t="s">
        <v>122</v>
      </c>
      <c r="P378" s="857">
        <f>G378*I378</f>
        <v>20000000</v>
      </c>
      <c r="Q378" s="858"/>
      <c r="R378" s="858"/>
      <c r="S378" s="859"/>
      <c r="T378" s="891"/>
    </row>
    <row r="379" spans="1:20" ht="14.45" customHeight="1">
      <c r="A379" s="778"/>
      <c r="B379" s="786"/>
      <c r="C379" s="1010"/>
      <c r="D379" s="786"/>
      <c r="E379" s="3637" t="s">
        <v>3126</v>
      </c>
      <c r="F379" s="3638"/>
      <c r="G379" s="3638"/>
      <c r="H379" s="3638"/>
      <c r="I379" s="3638"/>
      <c r="J379" s="3638"/>
      <c r="K379" s="3638"/>
      <c r="L379" s="3638"/>
      <c r="M379" s="3638"/>
      <c r="N379" s="3638"/>
      <c r="O379" s="3638"/>
      <c r="P379" s="3639"/>
      <c r="Q379" s="645">
        <f>P380</f>
        <v>30000000</v>
      </c>
      <c r="R379" s="645">
        <v>0</v>
      </c>
      <c r="S379" s="646">
        <f>+Q379-R379</f>
        <v>30000000</v>
      </c>
      <c r="T379" s="647"/>
    </row>
    <row r="380" spans="1:20" ht="14.45" customHeight="1">
      <c r="A380" s="778"/>
      <c r="B380" s="786"/>
      <c r="C380" s="1010"/>
      <c r="D380" s="786"/>
      <c r="E380" s="1164"/>
      <c r="F380" s="1035" t="s">
        <v>1888</v>
      </c>
      <c r="G380" s="1976"/>
      <c r="H380" s="1976"/>
      <c r="I380" s="1976"/>
      <c r="J380" s="1976"/>
      <c r="K380" s="1976"/>
      <c r="L380" s="1976"/>
      <c r="M380" s="1976"/>
      <c r="N380" s="1976"/>
      <c r="O380" s="1976"/>
      <c r="P380" s="1134">
        <f>SUM(P381)</f>
        <v>30000000</v>
      </c>
      <c r="Q380" s="1833">
        <f>P380</f>
        <v>30000000</v>
      </c>
      <c r="R380" s="1833">
        <v>0</v>
      </c>
      <c r="S380" s="1834">
        <f>+Q380-R380</f>
        <v>30000000</v>
      </c>
      <c r="T380" s="1835"/>
    </row>
    <row r="381" spans="1:20" ht="14.45" customHeight="1">
      <c r="A381" s="778"/>
      <c r="B381" s="786"/>
      <c r="C381" s="779"/>
      <c r="D381" s="846"/>
      <c r="E381" s="3281"/>
      <c r="F381" s="892" t="s">
        <v>1889</v>
      </c>
      <c r="G381" s="1951">
        <v>30000000</v>
      </c>
      <c r="H381" s="1908" t="s">
        <v>21</v>
      </c>
      <c r="I381" s="1977">
        <v>1</v>
      </c>
      <c r="J381" s="863"/>
      <c r="K381" s="1969"/>
      <c r="L381" s="1970"/>
      <c r="M381" s="1970"/>
      <c r="N381" s="1970"/>
      <c r="O381" s="865" t="s">
        <v>122</v>
      </c>
      <c r="P381" s="923">
        <f>G381*I381</f>
        <v>30000000</v>
      </c>
      <c r="Q381" s="866"/>
      <c r="R381" s="866"/>
      <c r="S381" s="924"/>
      <c r="T381" s="925"/>
    </row>
    <row r="382" spans="1:20" ht="14.45" customHeight="1">
      <c r="A382" s="778"/>
      <c r="B382" s="786"/>
      <c r="C382" s="3685" t="s">
        <v>259</v>
      </c>
      <c r="D382" s="3686"/>
      <c r="E382" s="3686"/>
      <c r="F382" s="3686"/>
      <c r="G382" s="3686"/>
      <c r="H382" s="3686"/>
      <c r="I382" s="3686"/>
      <c r="J382" s="3686"/>
      <c r="K382" s="3686"/>
      <c r="L382" s="3686"/>
      <c r="M382" s="3686"/>
      <c r="N382" s="3686"/>
      <c r="O382" s="3686"/>
      <c r="P382" s="3687"/>
      <c r="Q382" s="866">
        <f>Q383</f>
        <v>10990000</v>
      </c>
      <c r="R382" s="866">
        <f>R383</f>
        <v>30874000</v>
      </c>
      <c r="S382" s="924">
        <f>+Q382-R382</f>
        <v>-19884000</v>
      </c>
      <c r="T382" s="925">
        <f>+S382/R382</f>
        <v>-0.64403705383170307</v>
      </c>
    </row>
    <row r="383" spans="1:20" ht="14.45" customHeight="1">
      <c r="A383" s="778"/>
      <c r="B383" s="786"/>
      <c r="C383" s="786"/>
      <c r="D383" s="684" t="s">
        <v>436</v>
      </c>
      <c r="E383" s="2229"/>
      <c r="F383" s="1269"/>
      <c r="G383" s="1971"/>
      <c r="H383" s="716"/>
      <c r="I383" s="1972"/>
      <c r="J383" s="716"/>
      <c r="K383" s="1973"/>
      <c r="L383" s="1974"/>
      <c r="M383" s="1974"/>
      <c r="N383" s="1974"/>
      <c r="O383" s="718"/>
      <c r="P383" s="1975"/>
      <c r="Q383" s="638">
        <f>Q384</f>
        <v>10990000</v>
      </c>
      <c r="R383" s="638">
        <f>R384</f>
        <v>30874000</v>
      </c>
      <c r="S383" s="639">
        <f>+Q383-R383</f>
        <v>-19884000</v>
      </c>
      <c r="T383" s="1825">
        <f>+S383/R383</f>
        <v>-0.64403705383170307</v>
      </c>
    </row>
    <row r="384" spans="1:20" ht="14.45" customHeight="1">
      <c r="A384" s="778"/>
      <c r="B384" s="786"/>
      <c r="C384" s="792"/>
      <c r="D384" s="844"/>
      <c r="E384" s="3637" t="s">
        <v>3013</v>
      </c>
      <c r="F384" s="3638"/>
      <c r="G384" s="3638"/>
      <c r="H384" s="3638"/>
      <c r="I384" s="3638"/>
      <c r="J384" s="3638"/>
      <c r="K384" s="3638"/>
      <c r="L384" s="3638"/>
      <c r="M384" s="3638"/>
      <c r="N384" s="3638"/>
      <c r="O384" s="3638"/>
      <c r="P384" s="3639"/>
      <c r="Q384" s="645">
        <f>P385+P387+P389</f>
        <v>10990000</v>
      </c>
      <c r="R384" s="645">
        <v>30874000</v>
      </c>
      <c r="S384" s="646">
        <f>+Q384-R384</f>
        <v>-19884000</v>
      </c>
      <c r="T384" s="647">
        <f>+S384/R384</f>
        <v>-0.64403705383170307</v>
      </c>
    </row>
    <row r="385" spans="1:20" ht="14.45" customHeight="1">
      <c r="A385" s="778"/>
      <c r="B385" s="786"/>
      <c r="C385" s="792"/>
      <c r="D385" s="786"/>
      <c r="E385" s="1164"/>
      <c r="F385" s="1827" t="s">
        <v>1949</v>
      </c>
      <c r="G385" s="1828"/>
      <c r="H385" s="1829"/>
      <c r="I385" s="1829"/>
      <c r="J385" s="1829"/>
      <c r="K385" s="1829"/>
      <c r="L385" s="1830"/>
      <c r="M385" s="1829"/>
      <c r="N385" s="1831"/>
      <c r="O385" s="1831"/>
      <c r="P385" s="1832">
        <f>SUM(P386)</f>
        <v>500000</v>
      </c>
      <c r="Q385" s="1833">
        <f>P385</f>
        <v>500000</v>
      </c>
      <c r="R385" s="1833">
        <v>500000</v>
      </c>
      <c r="S385" s="1834">
        <f>+Q385-R385</f>
        <v>0</v>
      </c>
      <c r="T385" s="1835">
        <f>+S385/R385</f>
        <v>0</v>
      </c>
    </row>
    <row r="386" spans="1:20" ht="14.45" customHeight="1">
      <c r="A386" s="778"/>
      <c r="B386" s="786"/>
      <c r="C386" s="792"/>
      <c r="D386" s="786"/>
      <c r="F386" s="1980" t="s">
        <v>1551</v>
      </c>
      <c r="G386" s="1981">
        <v>500000</v>
      </c>
      <c r="H386" s="1982" t="s">
        <v>21</v>
      </c>
      <c r="I386" s="1983">
        <v>1</v>
      </c>
      <c r="J386" s="1982"/>
      <c r="K386" s="1982"/>
      <c r="L386" s="1984"/>
      <c r="M386" s="1982"/>
      <c r="N386" s="1985"/>
      <c r="O386" s="1985" t="s">
        <v>1036</v>
      </c>
      <c r="P386" s="1513">
        <f>ROUNDUP(G386*I386,-3)</f>
        <v>500000</v>
      </c>
      <c r="Q386" s="1986"/>
      <c r="R386" s="1986"/>
      <c r="S386" s="1987"/>
      <c r="T386" s="1440"/>
    </row>
    <row r="387" spans="1:20" ht="14.45" customHeight="1">
      <c r="A387" s="778"/>
      <c r="B387" s="786"/>
      <c r="C387" s="792"/>
      <c r="D387" s="786"/>
      <c r="F387" s="1827" t="s">
        <v>1950</v>
      </c>
      <c r="G387" s="1828"/>
      <c r="H387" s="1829"/>
      <c r="I387" s="1829"/>
      <c r="J387" s="1829"/>
      <c r="K387" s="1829"/>
      <c r="L387" s="1830"/>
      <c r="M387" s="1829"/>
      <c r="N387" s="1831"/>
      <c r="O387" s="1831"/>
      <c r="P387" s="1832">
        <f>SUM(P388)</f>
        <v>7490000</v>
      </c>
      <c r="Q387" s="1833">
        <f>P387</f>
        <v>7490000</v>
      </c>
      <c r="R387" s="1833">
        <v>30374000</v>
      </c>
      <c r="S387" s="1834">
        <f>+Q387-R387</f>
        <v>-22884000</v>
      </c>
      <c r="T387" s="1835">
        <f>+S387/R387</f>
        <v>-0.75340751958912222</v>
      </c>
    </row>
    <row r="388" spans="1:20" ht="14.45" customHeight="1">
      <c r="A388" s="778"/>
      <c r="B388" s="786"/>
      <c r="C388" s="792"/>
      <c r="D388" s="786"/>
      <c r="F388" s="1980" t="s">
        <v>1951</v>
      </c>
      <c r="G388" s="880">
        <v>7490000</v>
      </c>
      <c r="H388" s="1982" t="s">
        <v>21</v>
      </c>
      <c r="I388" s="1983">
        <v>1</v>
      </c>
      <c r="J388" s="1982"/>
      <c r="K388" s="1982"/>
      <c r="L388" s="1984"/>
      <c r="M388" s="1982"/>
      <c r="N388" s="1985"/>
      <c r="O388" s="1985" t="s">
        <v>1926</v>
      </c>
      <c r="P388" s="1988">
        <f>ROUNDUP(G388*I388,-3)</f>
        <v>7490000</v>
      </c>
      <c r="Q388" s="1986"/>
      <c r="R388" s="1986"/>
      <c r="S388" s="1987"/>
      <c r="T388" s="1440"/>
    </row>
    <row r="389" spans="1:20" ht="14.45" customHeight="1">
      <c r="A389" s="778"/>
      <c r="B389" s="786"/>
      <c r="C389" s="792"/>
      <c r="D389" s="786"/>
      <c r="F389" s="1827" t="s">
        <v>1952</v>
      </c>
      <c r="G389" s="1828"/>
      <c r="H389" s="1829"/>
      <c r="I389" s="1829"/>
      <c r="J389" s="1829"/>
      <c r="K389" s="1829"/>
      <c r="L389" s="1830"/>
      <c r="M389" s="1829"/>
      <c r="N389" s="1831"/>
      <c r="O389" s="1831"/>
      <c r="P389" s="1832">
        <f>SUM(P390)</f>
        <v>3000000</v>
      </c>
      <c r="Q389" s="1833">
        <f>P389</f>
        <v>3000000</v>
      </c>
      <c r="R389" s="1833">
        <v>0</v>
      </c>
      <c r="S389" s="1834">
        <f>+Q389-R389</f>
        <v>3000000</v>
      </c>
      <c r="T389" s="1835"/>
    </row>
    <row r="390" spans="1:20" ht="14.45" customHeight="1" thickBot="1">
      <c r="A390" s="898"/>
      <c r="B390" s="899"/>
      <c r="C390" s="1989"/>
      <c r="D390" s="899"/>
      <c r="E390" s="3298"/>
      <c r="F390" s="1990" t="s">
        <v>1953</v>
      </c>
      <c r="G390" s="1991">
        <v>3000000</v>
      </c>
      <c r="H390" s="1992" t="s">
        <v>21</v>
      </c>
      <c r="I390" s="1993">
        <v>1</v>
      </c>
      <c r="J390" s="1992"/>
      <c r="K390" s="1994"/>
      <c r="L390" s="1995"/>
      <c r="M390" s="1994"/>
      <c r="N390" s="1996"/>
      <c r="O390" s="1996" t="s">
        <v>22</v>
      </c>
      <c r="P390" s="1997">
        <f>ROUNDUP(G390*I390,-3)</f>
        <v>3000000</v>
      </c>
      <c r="Q390" s="1998"/>
      <c r="R390" s="1998"/>
      <c r="S390" s="1999"/>
      <c r="T390" s="2000"/>
    </row>
    <row r="392" spans="1:20">
      <c r="F392" s="1120"/>
    </row>
    <row r="393" spans="1:20">
      <c r="P393" s="1160"/>
    </row>
  </sheetData>
  <mergeCells count="67">
    <mergeCell ref="A1:T1"/>
    <mergeCell ref="S2:T2"/>
    <mergeCell ref="A3:F3"/>
    <mergeCell ref="G3:P4"/>
    <mergeCell ref="Q3:Q4"/>
    <mergeCell ref="R3:R4"/>
    <mergeCell ref="S3:S4"/>
    <mergeCell ref="T3:T4"/>
    <mergeCell ref="K73:L73"/>
    <mergeCell ref="I127:J127"/>
    <mergeCell ref="I58:J58"/>
    <mergeCell ref="I62:J62"/>
    <mergeCell ref="I63:J63"/>
    <mergeCell ref="I64:J64"/>
    <mergeCell ref="I65:J65"/>
    <mergeCell ref="I66:J66"/>
    <mergeCell ref="I123:J123"/>
    <mergeCell ref="I124:J124"/>
    <mergeCell ref="I125:J125"/>
    <mergeCell ref="I126:J126"/>
    <mergeCell ref="I117:J117"/>
    <mergeCell ref="E67:P67"/>
    <mergeCell ref="E71:P71"/>
    <mergeCell ref="E76:P76"/>
    <mergeCell ref="E9:P9"/>
    <mergeCell ref="E16:P16"/>
    <mergeCell ref="E47:P47"/>
    <mergeCell ref="E56:P56"/>
    <mergeCell ref="E60:P60"/>
    <mergeCell ref="E79:P79"/>
    <mergeCell ref="E82:P82"/>
    <mergeCell ref="E87:P87"/>
    <mergeCell ref="E88:P88"/>
    <mergeCell ref="E89:P89"/>
    <mergeCell ref="E91:P91"/>
    <mergeCell ref="E107:P107"/>
    <mergeCell ref="E110:P110"/>
    <mergeCell ref="E115:P115"/>
    <mergeCell ref="E121:P121"/>
    <mergeCell ref="E131:P131"/>
    <mergeCell ref="E135:P135"/>
    <mergeCell ref="E144:P144"/>
    <mergeCell ref="E150:P150"/>
    <mergeCell ref="E151:P151"/>
    <mergeCell ref="E207:P207"/>
    <mergeCell ref="E211:P211"/>
    <mergeCell ref="E154:P154"/>
    <mergeCell ref="E159:P159"/>
    <mergeCell ref="E173:P173"/>
    <mergeCell ref="E178:P178"/>
    <mergeCell ref="E187:P187"/>
    <mergeCell ref="E371:P371"/>
    <mergeCell ref="E376:P376"/>
    <mergeCell ref="E379:P379"/>
    <mergeCell ref="E384:P384"/>
    <mergeCell ref="C85:P85"/>
    <mergeCell ref="C105:P105"/>
    <mergeCell ref="C382:P382"/>
    <mergeCell ref="C374:P374"/>
    <mergeCell ref="E255:P255"/>
    <mergeCell ref="E284:P284"/>
    <mergeCell ref="E355:P355"/>
    <mergeCell ref="E364:P364"/>
    <mergeCell ref="E368:P368"/>
    <mergeCell ref="E190:P190"/>
    <mergeCell ref="E195:P195"/>
    <mergeCell ref="E199:P199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9" fitToHeight="0" orientation="landscape" r:id="rId1"/>
  <headerFooter scaleWithDoc="0">
    <oddFooter>&amp;C&amp;P</oddFooter>
  </headerFooter>
  <colBreaks count="1" manualBreakCount="1">
    <brk id="1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0070C0"/>
    <pageSetUpPr fitToPage="1"/>
  </sheetPr>
  <dimension ref="A1:XEV254"/>
  <sheetViews>
    <sheetView view="pageBreakPreview" zoomScaleNormal="85" zoomScaleSheetLayoutView="100" workbookViewId="0">
      <pane ySplit="7" topLeftCell="A113" activePane="bottomLeft" state="frozen"/>
      <selection activeCell="O40" sqref="O39:O40"/>
      <selection pane="bottomLeft" activeCell="D128" sqref="D128"/>
    </sheetView>
  </sheetViews>
  <sheetFormatPr defaultColWidth="9" defaultRowHeight="16.5"/>
  <cols>
    <col min="1" max="1" width="3.625" style="1585" customWidth="1"/>
    <col min="2" max="4" width="3.625" style="1586" customWidth="1"/>
    <col min="5" max="5" width="10.625" style="3319" customWidth="1"/>
    <col min="6" max="6" width="34.875" style="1587" customWidth="1"/>
    <col min="7" max="7" width="14.5" style="1588" bestFit="1" customWidth="1"/>
    <col min="8" max="8" width="2.125" style="1585" customWidth="1"/>
    <col min="9" max="9" width="7.5" style="1585" customWidth="1"/>
    <col min="10" max="10" width="2.125" style="1585" customWidth="1"/>
    <col min="11" max="11" width="5.875" style="1585" customWidth="1"/>
    <col min="12" max="12" width="2.625" style="1589" customWidth="1"/>
    <col min="13" max="13" width="5.375" style="1585" customWidth="1"/>
    <col min="14" max="14" width="2.75" style="1590" customWidth="1"/>
    <col min="15" max="15" width="2.625" style="1590" customWidth="1"/>
    <col min="16" max="16" width="13.625" style="1585" customWidth="1"/>
    <col min="17" max="17" width="10.625" style="1591" customWidth="1"/>
    <col min="18" max="18" width="10.625" style="1592" customWidth="1"/>
    <col min="19" max="19" width="10.625" style="1821" customWidth="1"/>
    <col min="20" max="20" width="10.625" style="1822" customWidth="1"/>
    <col min="21" max="21" width="9" style="1585"/>
    <col min="22" max="22" width="12" style="1585" bestFit="1" customWidth="1"/>
    <col min="23" max="23" width="10.875" style="1585" customWidth="1"/>
    <col min="24" max="24" width="10.625" style="1585" bestFit="1" customWidth="1"/>
    <col min="25" max="25" width="9.75" style="1585" bestFit="1" customWidth="1"/>
    <col min="26" max="27" width="9" style="1585"/>
    <col min="28" max="28" width="10.75" style="1585" bestFit="1" customWidth="1"/>
    <col min="29" max="16375" width="9" style="1585"/>
    <col min="16376" max="16376" width="12" style="1585" bestFit="1" customWidth="1"/>
    <col min="16377" max="16384" width="9" style="1585"/>
  </cols>
  <sheetData>
    <row r="1" spans="1:28" ht="35.1" customHeight="1">
      <c r="A1" s="3798" t="s">
        <v>1633</v>
      </c>
      <c r="B1" s="3798"/>
      <c r="C1" s="3798"/>
      <c r="D1" s="3798"/>
      <c r="E1" s="3798"/>
      <c r="F1" s="3798"/>
      <c r="G1" s="3798"/>
      <c r="H1" s="3798"/>
      <c r="I1" s="3798"/>
      <c r="J1" s="3798"/>
      <c r="K1" s="3798"/>
      <c r="L1" s="3798"/>
      <c r="M1" s="3798"/>
      <c r="N1" s="3798"/>
      <c r="O1" s="3798"/>
      <c r="P1" s="3798"/>
      <c r="Q1" s="3798"/>
      <c r="R1" s="3798"/>
      <c r="S1" s="3798"/>
      <c r="T1" s="3799"/>
    </row>
    <row r="2" spans="1:28" ht="15" customHeight="1" thickBot="1">
      <c r="A2" s="1585" t="s">
        <v>445</v>
      </c>
      <c r="E2" s="1619"/>
      <c r="S2" s="3800" t="s">
        <v>446</v>
      </c>
      <c r="T2" s="3800"/>
    </row>
    <row r="3" spans="1:28" s="1590" customFormat="1" ht="15" customHeight="1">
      <c r="A3" s="3743" t="s">
        <v>2</v>
      </c>
      <c r="B3" s="3644"/>
      <c r="C3" s="3644"/>
      <c r="D3" s="3644"/>
      <c r="E3" s="3644"/>
      <c r="F3" s="1258"/>
      <c r="G3" s="3645" t="s">
        <v>3</v>
      </c>
      <c r="H3" s="3645"/>
      <c r="I3" s="3645"/>
      <c r="J3" s="3645"/>
      <c r="K3" s="3645"/>
      <c r="L3" s="3645"/>
      <c r="M3" s="3645"/>
      <c r="N3" s="3645"/>
      <c r="O3" s="3645"/>
      <c r="P3" s="3646"/>
      <c r="Q3" s="3649" t="s">
        <v>4</v>
      </c>
      <c r="R3" s="3651" t="s">
        <v>326</v>
      </c>
      <c r="S3" s="3746" t="s">
        <v>5</v>
      </c>
      <c r="T3" s="3655" t="s">
        <v>6</v>
      </c>
    </row>
    <row r="4" spans="1:28" s="1590" customFormat="1" ht="15" customHeight="1" thickBot="1">
      <c r="A4" s="502" t="s">
        <v>7</v>
      </c>
      <c r="B4" s="503" t="s">
        <v>8</v>
      </c>
      <c r="C4" s="503" t="s">
        <v>9</v>
      </c>
      <c r="D4" s="503" t="s">
        <v>10</v>
      </c>
      <c r="E4" s="503" t="s">
        <v>11</v>
      </c>
      <c r="F4" s="1259" t="s">
        <v>12</v>
      </c>
      <c r="G4" s="3647"/>
      <c r="H4" s="3647"/>
      <c r="I4" s="3647"/>
      <c r="J4" s="3647"/>
      <c r="K4" s="3647"/>
      <c r="L4" s="3647"/>
      <c r="M4" s="3647"/>
      <c r="N4" s="3647"/>
      <c r="O4" s="3647"/>
      <c r="P4" s="3648"/>
      <c r="Q4" s="3650"/>
      <c r="R4" s="3652"/>
      <c r="S4" s="3747"/>
      <c r="T4" s="3656"/>
    </row>
    <row r="5" spans="1:28" ht="15" customHeight="1" thickBot="1">
      <c r="A5" s="1593" t="s">
        <v>447</v>
      </c>
      <c r="B5" s="1594"/>
      <c r="C5" s="1594"/>
      <c r="D5" s="1594"/>
      <c r="E5" s="1594"/>
      <c r="F5" s="1595"/>
      <c r="G5" s="1596"/>
      <c r="H5" s="1597"/>
      <c r="I5" s="1597"/>
      <c r="J5" s="1597"/>
      <c r="K5" s="1597"/>
      <c r="L5" s="1598"/>
      <c r="M5" s="1597"/>
      <c r="N5" s="1599"/>
      <c r="O5" s="1599"/>
      <c r="P5" s="1597"/>
      <c r="Q5" s="1600">
        <f>Q6</f>
        <v>424075000</v>
      </c>
      <c r="R5" s="1600">
        <f>R6</f>
        <v>1115590000</v>
      </c>
      <c r="S5" s="1601">
        <f t="shared" ref="S5:S10" si="0">Q5-R5</f>
        <v>-691515000</v>
      </c>
      <c r="T5" s="1602">
        <f t="shared" ref="T5:T10" si="1">S5/R5</f>
        <v>-0.61986482489086492</v>
      </c>
      <c r="V5" s="1585">
        <v>428855000</v>
      </c>
      <c r="W5" s="1585">
        <v>1115590000</v>
      </c>
    </row>
    <row r="6" spans="1:28" ht="15" customHeight="1">
      <c r="A6" s="1603"/>
      <c r="B6" s="1604" t="s">
        <v>448</v>
      </c>
      <c r="C6" s="1605"/>
      <c r="D6" s="1605"/>
      <c r="E6" s="1605"/>
      <c r="F6" s="1606"/>
      <c r="G6" s="1607"/>
      <c r="H6" s="1608"/>
      <c r="I6" s="1608"/>
      <c r="J6" s="1608"/>
      <c r="K6" s="1608"/>
      <c r="L6" s="1609"/>
      <c r="M6" s="1608"/>
      <c r="N6" s="1610"/>
      <c r="O6" s="1610"/>
      <c r="P6" s="1608"/>
      <c r="Q6" s="1611">
        <f>+SUM(Q7+Q132+Q193+Q163)</f>
        <v>424075000</v>
      </c>
      <c r="R6" s="1611">
        <f>+SUM(R7+R132+R193+R163)</f>
        <v>1115590000</v>
      </c>
      <c r="S6" s="1612">
        <f t="shared" si="0"/>
        <v>-691515000</v>
      </c>
      <c r="T6" s="1613">
        <f t="shared" si="1"/>
        <v>-0.61986482489086492</v>
      </c>
      <c r="V6" s="1614">
        <f>Q5-V5</f>
        <v>-4780000</v>
      </c>
      <c r="W6" s="1614">
        <f>R5-W5</f>
        <v>0</v>
      </c>
    </row>
    <row r="7" spans="1:28" ht="15" customHeight="1">
      <c r="A7" s="1603"/>
      <c r="B7" s="1615"/>
      <c r="C7" s="3685" t="s">
        <v>3173</v>
      </c>
      <c r="D7" s="3686"/>
      <c r="E7" s="3686"/>
      <c r="F7" s="3686"/>
      <c r="G7" s="3686"/>
      <c r="H7" s="3686"/>
      <c r="I7" s="3686"/>
      <c r="J7" s="3686"/>
      <c r="K7" s="3686"/>
      <c r="L7" s="3686"/>
      <c r="M7" s="3686"/>
      <c r="N7" s="3686"/>
      <c r="O7" s="3686"/>
      <c r="P7" s="3687"/>
      <c r="Q7" s="1616">
        <f>+SUM(Q8+Q85+Q128)</f>
        <v>363780000</v>
      </c>
      <c r="R7" s="1616">
        <f>+SUM(R8+R85+R128)</f>
        <v>277302000</v>
      </c>
      <c r="S7" s="1617">
        <f t="shared" si="0"/>
        <v>86478000</v>
      </c>
      <c r="T7" s="1613">
        <f t="shared" si="1"/>
        <v>0.31185494515005302</v>
      </c>
    </row>
    <row r="8" spans="1:28" ht="15" customHeight="1" thickBot="1">
      <c r="A8" s="1603"/>
      <c r="B8" s="1618"/>
      <c r="C8" s="1619"/>
      <c r="D8" s="1620" t="s">
        <v>449</v>
      </c>
      <c r="E8" s="3320"/>
      <c r="F8" s="1622"/>
      <c r="G8" s="1623"/>
      <c r="H8" s="1621"/>
      <c r="I8" s="1621"/>
      <c r="J8" s="1621"/>
      <c r="K8" s="1621"/>
      <c r="L8" s="1620"/>
      <c r="M8" s="1621"/>
      <c r="N8" s="1624"/>
      <c r="O8" s="1624"/>
      <c r="P8" s="1621"/>
      <c r="Q8" s="1625">
        <f>Q9+Q21+Q58+Q71+Q82</f>
        <v>309399000</v>
      </c>
      <c r="R8" s="1625">
        <f>R9+R21+R58+R71+R82</f>
        <v>224951000</v>
      </c>
      <c r="S8" s="1626">
        <f t="shared" si="0"/>
        <v>84448000</v>
      </c>
      <c r="T8" s="1627">
        <f t="shared" si="1"/>
        <v>0.37540619957235133</v>
      </c>
    </row>
    <row r="9" spans="1:28" ht="15" customHeight="1">
      <c r="A9" s="1603"/>
      <c r="B9" s="1618"/>
      <c r="C9" s="1619"/>
      <c r="D9" s="1618"/>
      <c r="E9" s="3637" t="s">
        <v>3142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8"/>
      <c r="P9" s="3639"/>
      <c r="Q9" s="1628">
        <f>ROUNDUP(SUM(P10),-3)</f>
        <v>155076000</v>
      </c>
      <c r="R9" s="1628">
        <v>147472000</v>
      </c>
      <c r="S9" s="1629">
        <f t="shared" si="0"/>
        <v>7604000</v>
      </c>
      <c r="T9" s="1630">
        <f t="shared" si="1"/>
        <v>5.1562330476293806E-2</v>
      </c>
    </row>
    <row r="10" spans="1:28" ht="15" customHeight="1">
      <c r="A10" s="1603"/>
      <c r="B10" s="1618"/>
      <c r="C10" s="1619"/>
      <c r="D10" s="1618"/>
      <c r="F10" s="1631" t="s">
        <v>38</v>
      </c>
      <c r="G10" s="686"/>
      <c r="H10" s="1632"/>
      <c r="I10" s="1632"/>
      <c r="J10" s="1632"/>
      <c r="K10" s="1632"/>
      <c r="L10" s="1631"/>
      <c r="M10" s="1633"/>
      <c r="N10" s="1632"/>
      <c r="O10" s="1633"/>
      <c r="P10" s="1634">
        <f>SUM(P11:P20)</f>
        <v>155076000</v>
      </c>
      <c r="Q10" s="1635">
        <f>P10</f>
        <v>155076000</v>
      </c>
      <c r="R10" s="1635">
        <v>147472000</v>
      </c>
      <c r="S10" s="1636">
        <f t="shared" si="0"/>
        <v>7604000</v>
      </c>
      <c r="T10" s="1637">
        <f t="shared" si="1"/>
        <v>5.1562330476293806E-2</v>
      </c>
      <c r="V10" s="3796" t="s">
        <v>773</v>
      </c>
      <c r="W10" s="3796"/>
      <c r="X10" s="3796"/>
      <c r="Y10" s="3796"/>
      <c r="Z10" s="930"/>
      <c r="AA10" s="158" t="s">
        <v>774</v>
      </c>
      <c r="AB10" s="158"/>
    </row>
    <row r="11" spans="1:28" ht="15" customHeight="1">
      <c r="A11" s="1603"/>
      <c r="B11" s="1618"/>
      <c r="C11" s="1619"/>
      <c r="D11" s="1618"/>
      <c r="F11" s="1638" t="s">
        <v>450</v>
      </c>
      <c r="G11" s="1639">
        <v>3494600</v>
      </c>
      <c r="H11" s="1640" t="s">
        <v>21</v>
      </c>
      <c r="I11" s="1641">
        <v>1</v>
      </c>
      <c r="J11" s="1640" t="s">
        <v>21</v>
      </c>
      <c r="K11" s="1642">
        <v>1</v>
      </c>
      <c r="L11" s="1643"/>
      <c r="M11" s="1644"/>
      <c r="N11" s="1640"/>
      <c r="O11" s="1644" t="s">
        <v>22</v>
      </c>
      <c r="P11" s="1645">
        <f>ROUNDUP(PRODUCT(G11:N11),-3)</f>
        <v>3495000</v>
      </c>
      <c r="Q11" s="1646"/>
      <c r="R11" s="1646"/>
      <c r="S11" s="1647"/>
      <c r="T11" s="1648"/>
      <c r="V11" s="962"/>
      <c r="W11" s="962"/>
      <c r="X11" s="962"/>
      <c r="Y11" s="962"/>
      <c r="Z11" s="962"/>
      <c r="AA11" s="962"/>
      <c r="AB11" s="962"/>
    </row>
    <row r="12" spans="1:28" ht="15" customHeight="1">
      <c r="A12" s="1603"/>
      <c r="B12" s="1618"/>
      <c r="C12" s="1619"/>
      <c r="D12" s="1618"/>
      <c r="F12" s="1638" t="s">
        <v>450</v>
      </c>
      <c r="G12" s="1639">
        <v>3546100</v>
      </c>
      <c r="H12" s="1640" t="s">
        <v>21</v>
      </c>
      <c r="I12" s="1641">
        <v>1</v>
      </c>
      <c r="J12" s="1640" t="s">
        <v>21</v>
      </c>
      <c r="K12" s="1642">
        <v>11</v>
      </c>
      <c r="L12" s="1643"/>
      <c r="M12" s="1644"/>
      <c r="N12" s="1640"/>
      <c r="O12" s="1644" t="s">
        <v>22</v>
      </c>
      <c r="P12" s="1645">
        <f t="shared" ref="P12:P20" si="2">ROUNDUP(PRODUCT(G12:N12),-3)</f>
        <v>39008000</v>
      </c>
      <c r="Q12" s="1646"/>
      <c r="R12" s="1646"/>
      <c r="S12" s="1647"/>
      <c r="T12" s="1648"/>
      <c r="V12" s="964" t="s">
        <v>762</v>
      </c>
      <c r="W12" s="964" t="s">
        <v>770</v>
      </c>
      <c r="X12" s="964" t="s">
        <v>771</v>
      </c>
      <c r="Y12" s="964" t="s">
        <v>772</v>
      </c>
      <c r="Z12" s="964"/>
      <c r="AA12" s="964" t="s">
        <v>776</v>
      </c>
      <c r="AB12" s="1649">
        <v>323393000</v>
      </c>
    </row>
    <row r="13" spans="1:28" ht="15" customHeight="1">
      <c r="A13" s="1603"/>
      <c r="B13" s="1618"/>
      <c r="C13" s="1619"/>
      <c r="D13" s="1618"/>
      <c r="F13" s="1650" t="s">
        <v>451</v>
      </c>
      <c r="G13" s="1639">
        <v>2737350</v>
      </c>
      <c r="H13" s="1640" t="s">
        <v>21</v>
      </c>
      <c r="I13" s="1641">
        <v>1</v>
      </c>
      <c r="J13" s="1640" t="s">
        <v>21</v>
      </c>
      <c r="K13" s="1642">
        <v>8</v>
      </c>
      <c r="L13" s="1643"/>
      <c r="M13" s="1644"/>
      <c r="N13" s="1640"/>
      <c r="O13" s="1644" t="s">
        <v>22</v>
      </c>
      <c r="P13" s="1645">
        <f t="shared" si="2"/>
        <v>21899000</v>
      </c>
      <c r="Q13" s="1646"/>
      <c r="R13" s="1646"/>
      <c r="S13" s="1647"/>
      <c r="T13" s="1648"/>
      <c r="V13" s="930" t="s">
        <v>763</v>
      </c>
      <c r="W13" s="1651">
        <f>Q8</f>
        <v>309399000</v>
      </c>
      <c r="X13" s="1651">
        <f>R8</f>
        <v>224951000</v>
      </c>
      <c r="Y13" s="1651">
        <f>W13-X13</f>
        <v>84448000</v>
      </c>
      <c r="Z13" s="1651"/>
      <c r="AA13" s="1651" t="s">
        <v>780</v>
      </c>
      <c r="AB13" s="1651">
        <f>W17</f>
        <v>0</v>
      </c>
    </row>
    <row r="14" spans="1:28" ht="15" customHeight="1">
      <c r="A14" s="1603"/>
      <c r="B14" s="1618"/>
      <c r="C14" s="1619"/>
      <c r="D14" s="1618"/>
      <c r="F14" s="1650" t="s">
        <v>451</v>
      </c>
      <c r="G14" s="1639">
        <v>2795030</v>
      </c>
      <c r="H14" s="1640" t="s">
        <v>21</v>
      </c>
      <c r="I14" s="1641">
        <v>1</v>
      </c>
      <c r="J14" s="1640" t="s">
        <v>21</v>
      </c>
      <c r="K14" s="1642">
        <v>4</v>
      </c>
      <c r="L14" s="1643"/>
      <c r="M14" s="1644"/>
      <c r="N14" s="1640"/>
      <c r="O14" s="1644" t="s">
        <v>22</v>
      </c>
      <c r="P14" s="1645">
        <f t="shared" si="2"/>
        <v>11181000</v>
      </c>
      <c r="Q14" s="1646"/>
      <c r="R14" s="1646"/>
      <c r="S14" s="1647"/>
      <c r="T14" s="1648"/>
      <c r="V14" s="930" t="s">
        <v>764</v>
      </c>
      <c r="W14" s="1651">
        <f>Q85</f>
        <v>53181000</v>
      </c>
      <c r="X14" s="1651">
        <f>R85</f>
        <v>52351000</v>
      </c>
      <c r="Y14" s="1651">
        <f t="shared" ref="Y14:Y16" si="3">W14-X14</f>
        <v>830000</v>
      </c>
      <c r="Z14" s="1651"/>
      <c r="AA14" s="1651"/>
      <c r="AB14" s="1651"/>
    </row>
    <row r="15" spans="1:28" ht="15" customHeight="1">
      <c r="A15" s="1603"/>
      <c r="B15" s="1618"/>
      <c r="C15" s="1619"/>
      <c r="D15" s="1618"/>
      <c r="F15" s="1650" t="s">
        <v>452</v>
      </c>
      <c r="G15" s="1639">
        <v>2737350</v>
      </c>
      <c r="H15" s="1640" t="s">
        <v>21</v>
      </c>
      <c r="I15" s="1641">
        <v>1</v>
      </c>
      <c r="J15" s="1640" t="s">
        <v>21</v>
      </c>
      <c r="K15" s="1642">
        <v>10</v>
      </c>
      <c r="L15" s="1643"/>
      <c r="M15" s="1644"/>
      <c r="N15" s="1640"/>
      <c r="O15" s="1644" t="s">
        <v>22</v>
      </c>
      <c r="P15" s="1645">
        <f t="shared" si="2"/>
        <v>27374000</v>
      </c>
      <c r="Q15" s="1646"/>
      <c r="R15" s="1646"/>
      <c r="S15" s="1647"/>
      <c r="T15" s="1648"/>
      <c r="V15" s="930" t="s">
        <v>766</v>
      </c>
      <c r="W15" s="1651">
        <f>Q128</f>
        <v>1200000</v>
      </c>
      <c r="X15" s="1651">
        <f>R128</f>
        <v>0</v>
      </c>
      <c r="Y15" s="1651">
        <f t="shared" si="3"/>
        <v>1200000</v>
      </c>
      <c r="Z15" s="1651"/>
      <c r="AA15" s="1651"/>
      <c r="AB15" s="1651"/>
    </row>
    <row r="16" spans="1:28" ht="15" customHeight="1">
      <c r="A16" s="1603"/>
      <c r="B16" s="1618"/>
      <c r="C16" s="1619"/>
      <c r="D16" s="1618"/>
      <c r="F16" s="1650" t="s">
        <v>452</v>
      </c>
      <c r="G16" s="1639">
        <v>2795030</v>
      </c>
      <c r="H16" s="1640" t="s">
        <v>21</v>
      </c>
      <c r="I16" s="1641">
        <v>1</v>
      </c>
      <c r="J16" s="1640" t="s">
        <v>21</v>
      </c>
      <c r="K16" s="1642">
        <v>2</v>
      </c>
      <c r="L16" s="1643"/>
      <c r="M16" s="1644"/>
      <c r="N16" s="1640"/>
      <c r="O16" s="1644" t="s">
        <v>22</v>
      </c>
      <c r="P16" s="1645">
        <f t="shared" si="2"/>
        <v>5591000</v>
      </c>
      <c r="Q16" s="1646"/>
      <c r="R16" s="1646"/>
      <c r="S16" s="1647"/>
      <c r="T16" s="1648"/>
      <c r="V16" s="930" t="s">
        <v>765</v>
      </c>
      <c r="W16" s="1651">
        <f>Q135</f>
        <v>12168000</v>
      </c>
      <c r="X16" s="1651">
        <f>R135</f>
        <v>49601000</v>
      </c>
      <c r="Y16" s="1651">
        <f t="shared" si="3"/>
        <v>-37433000</v>
      </c>
      <c r="Z16" s="1651"/>
      <c r="AA16" s="1651"/>
      <c r="AB16" s="1651"/>
    </row>
    <row r="17" spans="1:28" ht="15" customHeight="1">
      <c r="A17" s="1603"/>
      <c r="B17" s="1618"/>
      <c r="C17" s="1619"/>
      <c r="D17" s="1618"/>
      <c r="F17" s="1650" t="s">
        <v>453</v>
      </c>
      <c r="G17" s="1639">
        <v>1761870</v>
      </c>
      <c r="H17" s="1640" t="s">
        <v>21</v>
      </c>
      <c r="I17" s="1641">
        <v>1</v>
      </c>
      <c r="J17" s="1640" t="s">
        <v>454</v>
      </c>
      <c r="K17" s="1642">
        <v>1</v>
      </c>
      <c r="L17" s="1643"/>
      <c r="M17" s="1644"/>
      <c r="N17" s="1640"/>
      <c r="O17" s="1652" t="str">
        <f>O16</f>
        <v>=</v>
      </c>
      <c r="P17" s="1645">
        <f t="shared" si="2"/>
        <v>1762000</v>
      </c>
      <c r="Q17" s="1646"/>
      <c r="R17" s="1646"/>
      <c r="S17" s="1647"/>
      <c r="T17" s="1648"/>
      <c r="V17" s="930"/>
      <c r="W17" s="1651"/>
      <c r="X17" s="1651"/>
      <c r="Y17" s="1651"/>
      <c r="Z17" s="1651"/>
      <c r="AA17" s="1651"/>
      <c r="AB17" s="1651"/>
    </row>
    <row r="18" spans="1:28" ht="15" customHeight="1">
      <c r="A18" s="1603"/>
      <c r="B18" s="1618"/>
      <c r="C18" s="1619"/>
      <c r="D18" s="1618"/>
      <c r="F18" s="1650" t="s">
        <v>453</v>
      </c>
      <c r="G18" s="1639">
        <v>1818520</v>
      </c>
      <c r="H18" s="1640" t="s">
        <v>21</v>
      </c>
      <c r="I18" s="1641">
        <v>1</v>
      </c>
      <c r="J18" s="1640" t="s">
        <v>454</v>
      </c>
      <c r="K18" s="1642">
        <v>10</v>
      </c>
      <c r="L18" s="1643"/>
      <c r="M18" s="1644"/>
      <c r="N18" s="1640"/>
      <c r="O18" s="1652" t="s">
        <v>22</v>
      </c>
      <c r="P18" s="1645">
        <f t="shared" si="2"/>
        <v>18186000</v>
      </c>
      <c r="Q18" s="1646"/>
      <c r="R18" s="1646"/>
      <c r="S18" s="1647"/>
      <c r="T18" s="1648"/>
      <c r="V18" s="1653" t="s">
        <v>781</v>
      </c>
      <c r="W18" s="1654">
        <f>SUM(W13:W17)</f>
        <v>375948000</v>
      </c>
      <c r="X18" s="1654">
        <f t="shared" ref="X18:Y18" si="4">SUM(X13:X17)</f>
        <v>326903000</v>
      </c>
      <c r="Y18" s="1654">
        <f t="shared" si="4"/>
        <v>49045000</v>
      </c>
      <c r="Z18" s="1654"/>
      <c r="AA18" s="1654"/>
      <c r="AB18" s="1654"/>
    </row>
    <row r="19" spans="1:28" ht="15" customHeight="1">
      <c r="A19" s="1603"/>
      <c r="B19" s="1618"/>
      <c r="C19" s="1619"/>
      <c r="D19" s="1618"/>
      <c r="F19" s="1650" t="s">
        <v>455</v>
      </c>
      <c r="G19" s="1639">
        <v>2208090</v>
      </c>
      <c r="H19" s="1640" t="s">
        <v>21</v>
      </c>
      <c r="I19" s="1641">
        <v>1</v>
      </c>
      <c r="J19" s="1640" t="s">
        <v>21</v>
      </c>
      <c r="K19" s="1642">
        <v>10</v>
      </c>
      <c r="L19" s="1643"/>
      <c r="M19" s="1644"/>
      <c r="N19" s="1640"/>
      <c r="O19" s="1644" t="s">
        <v>22</v>
      </c>
      <c r="P19" s="1645">
        <f t="shared" si="2"/>
        <v>22081000</v>
      </c>
      <c r="Q19" s="1646"/>
      <c r="R19" s="1646"/>
      <c r="S19" s="1647"/>
      <c r="T19" s="1648"/>
      <c r="V19" s="930" t="s">
        <v>767</v>
      </c>
      <c r="W19" s="1651">
        <f>Q133</f>
        <v>0</v>
      </c>
      <c r="X19" s="1651">
        <f>R133</f>
        <v>768503000</v>
      </c>
      <c r="Y19" s="1651">
        <f>W19-X19</f>
        <v>-768503000</v>
      </c>
      <c r="Z19" s="1651"/>
      <c r="AA19" s="1651" t="s">
        <v>777</v>
      </c>
      <c r="AB19" s="1651">
        <v>38880000</v>
      </c>
    </row>
    <row r="20" spans="1:28" ht="15" customHeight="1">
      <c r="A20" s="1603"/>
      <c r="B20" s="1618"/>
      <c r="C20" s="1619"/>
      <c r="D20" s="1618"/>
      <c r="F20" s="1650" t="s">
        <v>455</v>
      </c>
      <c r="G20" s="1639">
        <v>2249290</v>
      </c>
      <c r="H20" s="1640" t="s">
        <v>21</v>
      </c>
      <c r="I20" s="1641">
        <v>1</v>
      </c>
      <c r="J20" s="1640" t="s">
        <v>21</v>
      </c>
      <c r="K20" s="1642">
        <v>2</v>
      </c>
      <c r="L20" s="1643"/>
      <c r="M20" s="1644"/>
      <c r="N20" s="1640"/>
      <c r="O20" s="1644" t="s">
        <v>22</v>
      </c>
      <c r="P20" s="1645">
        <f t="shared" si="2"/>
        <v>4499000</v>
      </c>
      <c r="Q20" s="1646"/>
      <c r="R20" s="1646"/>
      <c r="S20" s="1647"/>
      <c r="T20" s="1648"/>
      <c r="V20" s="930"/>
      <c r="W20" s="1651"/>
      <c r="X20" s="1651"/>
      <c r="Y20" s="1651"/>
      <c r="Z20" s="1651"/>
      <c r="AA20" s="1651"/>
      <c r="AB20" s="1651"/>
    </row>
    <row r="21" spans="1:28" ht="15" customHeight="1">
      <c r="A21" s="1603"/>
      <c r="B21" s="1618"/>
      <c r="C21" s="1619"/>
      <c r="D21" s="1618"/>
      <c r="E21" s="3637" t="s">
        <v>3143</v>
      </c>
      <c r="F21" s="3638"/>
      <c r="G21" s="3638"/>
      <c r="H21" s="3638"/>
      <c r="I21" s="3638"/>
      <c r="J21" s="3638"/>
      <c r="K21" s="3638"/>
      <c r="L21" s="3638"/>
      <c r="M21" s="3638"/>
      <c r="N21" s="3638"/>
      <c r="O21" s="3638"/>
      <c r="P21" s="3639"/>
      <c r="Q21" s="1628">
        <f>SUM(P22,P28,P31,P33,P37,P46,P54,P56)</f>
        <v>74767000</v>
      </c>
      <c r="R21" s="1628">
        <v>60193000</v>
      </c>
      <c r="S21" s="1629">
        <f>Q21-R21</f>
        <v>14574000</v>
      </c>
      <c r="T21" s="1630">
        <f>S21/R21</f>
        <v>0.24212117688103268</v>
      </c>
      <c r="V21" s="930" t="s">
        <v>768</v>
      </c>
      <c r="W21" s="1651">
        <f>Q163</f>
        <v>48103000</v>
      </c>
      <c r="X21" s="1651">
        <f>R163</f>
        <v>20160000</v>
      </c>
      <c r="Y21" s="1651">
        <f>S187</f>
        <v>0</v>
      </c>
      <c r="Z21" s="1651"/>
      <c r="AA21" s="1651" t="s">
        <v>775</v>
      </c>
      <c r="AB21" s="1651">
        <f>W19</f>
        <v>0</v>
      </c>
    </row>
    <row r="22" spans="1:28" ht="15" customHeight="1">
      <c r="A22" s="1603"/>
      <c r="B22" s="1618"/>
      <c r="C22" s="1619"/>
      <c r="D22" s="1618"/>
      <c r="E22" s="3321"/>
      <c r="F22" s="1631" t="s">
        <v>456</v>
      </c>
      <c r="G22" s="686"/>
      <c r="H22" s="1632"/>
      <c r="I22" s="1632"/>
      <c r="J22" s="1632"/>
      <c r="K22" s="1632"/>
      <c r="L22" s="1631"/>
      <c r="M22" s="1633"/>
      <c r="N22" s="1632"/>
      <c r="O22" s="1633"/>
      <c r="P22" s="1634">
        <f>SUM(P23:P27)</f>
        <v>15720000</v>
      </c>
      <c r="Q22" s="1635">
        <f>P22</f>
        <v>15720000</v>
      </c>
      <c r="R22" s="1635">
        <v>11520000</v>
      </c>
      <c r="S22" s="1636">
        <f>Q22-R22</f>
        <v>4200000</v>
      </c>
      <c r="T22" s="1637">
        <f>S22/R22</f>
        <v>0.36458333333333331</v>
      </c>
      <c r="V22" s="930"/>
      <c r="W22" s="1651"/>
      <c r="X22" s="1651"/>
      <c r="Y22" s="1651"/>
      <c r="Z22" s="1651"/>
      <c r="AA22" s="1651" t="s">
        <v>779</v>
      </c>
      <c r="AB22" s="1651">
        <v>4402000</v>
      </c>
    </row>
    <row r="23" spans="1:28" ht="15" customHeight="1">
      <c r="A23" s="1603"/>
      <c r="B23" s="1618"/>
      <c r="C23" s="1619"/>
      <c r="D23" s="1618"/>
      <c r="E23" s="3322"/>
      <c r="F23" s="1638" t="s">
        <v>2145</v>
      </c>
      <c r="G23" s="880">
        <v>280000</v>
      </c>
      <c r="H23" s="1640" t="s">
        <v>2147</v>
      </c>
      <c r="I23" s="1641">
        <v>1</v>
      </c>
      <c r="J23" s="1640" t="s">
        <v>21</v>
      </c>
      <c r="K23" s="1642">
        <v>12</v>
      </c>
      <c r="L23" s="1643"/>
      <c r="M23" s="1644"/>
      <c r="N23" s="1640"/>
      <c r="O23" s="1644" t="s">
        <v>22</v>
      </c>
      <c r="P23" s="1645">
        <f t="shared" ref="P23:P32" si="5">ROUNDUP(PRODUCT(G23:N23),-3)</f>
        <v>3360000</v>
      </c>
      <c r="Q23" s="1655"/>
      <c r="R23" s="1655"/>
      <c r="S23" s="1656"/>
      <c r="T23" s="1657"/>
      <c r="V23" s="930" t="s">
        <v>769</v>
      </c>
      <c r="W23" s="1651">
        <f>Q193</f>
        <v>24000</v>
      </c>
      <c r="X23" s="1651">
        <f>R193</f>
        <v>24000</v>
      </c>
      <c r="Y23" s="1651">
        <f>S199</f>
        <v>0</v>
      </c>
      <c r="Z23" s="1651"/>
      <c r="AA23" s="1651" t="s">
        <v>778</v>
      </c>
      <c r="AB23" s="1651">
        <v>24000</v>
      </c>
    </row>
    <row r="24" spans="1:28" ht="15" customHeight="1">
      <c r="A24" s="1603"/>
      <c r="B24" s="1618"/>
      <c r="C24" s="1619"/>
      <c r="D24" s="1618"/>
      <c r="E24" s="3322"/>
      <c r="F24" s="1658" t="s">
        <v>2146</v>
      </c>
      <c r="G24" s="1568">
        <v>200000</v>
      </c>
      <c r="H24" s="1659" t="s">
        <v>1701</v>
      </c>
      <c r="I24" s="1660">
        <v>1</v>
      </c>
      <c r="J24" s="1659" t="s">
        <v>21</v>
      </c>
      <c r="K24" s="1661">
        <v>12</v>
      </c>
      <c r="L24" s="1662"/>
      <c r="M24" s="1663"/>
      <c r="N24" s="1659"/>
      <c r="O24" s="1664" t="s">
        <v>22</v>
      </c>
      <c r="P24" s="1645">
        <f t="shared" ref="P24" si="6">ROUNDUP(PRODUCT(G24:N24),-3)</f>
        <v>2400000</v>
      </c>
      <c r="Q24" s="1655"/>
      <c r="R24" s="1655"/>
      <c r="S24" s="1656"/>
      <c r="T24" s="1657"/>
      <c r="V24" s="930"/>
      <c r="W24" s="1651"/>
      <c r="X24" s="1651"/>
      <c r="Y24" s="1651"/>
      <c r="Z24" s="1651"/>
      <c r="AA24" s="1651"/>
      <c r="AB24" s="1651"/>
    </row>
    <row r="25" spans="1:28" ht="15" customHeight="1">
      <c r="A25" s="1603"/>
      <c r="B25" s="1618"/>
      <c r="C25" s="1619"/>
      <c r="D25" s="1618"/>
      <c r="F25" s="1650" t="s">
        <v>457</v>
      </c>
      <c r="G25" s="880">
        <v>200000</v>
      </c>
      <c r="H25" s="1640" t="s">
        <v>21</v>
      </c>
      <c r="I25" s="1641">
        <v>2</v>
      </c>
      <c r="J25" s="1640" t="s">
        <v>21</v>
      </c>
      <c r="K25" s="1642">
        <v>12</v>
      </c>
      <c r="L25" s="1643"/>
      <c r="M25" s="1644"/>
      <c r="N25" s="1640"/>
      <c r="O25" s="1665" t="s">
        <v>22</v>
      </c>
      <c r="P25" s="1645">
        <f t="shared" si="5"/>
        <v>4800000</v>
      </c>
      <c r="Q25" s="1655"/>
      <c r="R25" s="1655"/>
      <c r="S25" s="1656"/>
      <c r="T25" s="1657"/>
      <c r="V25" s="930"/>
      <c r="W25" s="1651"/>
      <c r="X25" s="1651"/>
      <c r="Y25" s="1651"/>
      <c r="Z25" s="1651"/>
      <c r="AA25" s="1651"/>
      <c r="AB25" s="1651"/>
    </row>
    <row r="26" spans="1:28" ht="15" customHeight="1">
      <c r="A26" s="1603"/>
      <c r="B26" s="1618"/>
      <c r="C26" s="1619"/>
      <c r="D26" s="1618"/>
      <c r="F26" s="1650" t="s">
        <v>453</v>
      </c>
      <c r="G26" s="880">
        <v>150000</v>
      </c>
      <c r="H26" s="1640" t="s">
        <v>454</v>
      </c>
      <c r="I26" s="1641">
        <v>2</v>
      </c>
      <c r="J26" s="1640" t="s">
        <v>21</v>
      </c>
      <c r="K26" s="1642">
        <v>12</v>
      </c>
      <c r="L26" s="1643"/>
      <c r="M26" s="1644"/>
      <c r="N26" s="1640"/>
      <c r="O26" s="1665" t="s">
        <v>22</v>
      </c>
      <c r="P26" s="1645">
        <f t="shared" si="5"/>
        <v>3600000</v>
      </c>
      <c r="Q26" s="1655"/>
      <c r="R26" s="1655"/>
      <c r="S26" s="1656"/>
      <c r="T26" s="1657"/>
      <c r="V26" s="930"/>
      <c r="W26" s="1651">
        <f>W18+W19+W21+W23</f>
        <v>424075000</v>
      </c>
      <c r="X26" s="1651">
        <f>X18+X19+X21+X23</f>
        <v>1115590000</v>
      </c>
      <c r="Y26" s="1651">
        <f>Y18+Y19+Y21+Y23</f>
        <v>-719458000</v>
      </c>
      <c r="Z26" s="1651"/>
      <c r="AA26" s="1651"/>
      <c r="AB26" s="1651">
        <f>AB12+AB19+AB21+AB22+AB23+AB13</f>
        <v>366699000</v>
      </c>
    </row>
    <row r="27" spans="1:28" ht="15" customHeight="1">
      <c r="A27" s="1603"/>
      <c r="B27" s="1618"/>
      <c r="C27" s="1619"/>
      <c r="D27" s="1618"/>
      <c r="F27" s="1650" t="s">
        <v>455</v>
      </c>
      <c r="G27" s="880">
        <v>130000</v>
      </c>
      <c r="H27" s="1640" t="s">
        <v>21</v>
      </c>
      <c r="I27" s="1641">
        <v>1</v>
      </c>
      <c r="J27" s="1640" t="s">
        <v>21</v>
      </c>
      <c r="K27" s="1642">
        <v>12</v>
      </c>
      <c r="L27" s="1643"/>
      <c r="M27" s="1644"/>
      <c r="N27" s="1640"/>
      <c r="O27" s="1644" t="s">
        <v>22</v>
      </c>
      <c r="P27" s="1645">
        <f t="shared" si="5"/>
        <v>1560000</v>
      </c>
      <c r="Q27" s="1655"/>
      <c r="R27" s="1655"/>
      <c r="S27" s="1656"/>
      <c r="T27" s="1657"/>
      <c r="W27" s="1614"/>
      <c r="X27" s="1614"/>
      <c r="Y27" s="1614"/>
      <c r="Z27" s="1614"/>
      <c r="AA27" s="1614"/>
      <c r="AB27" s="1614"/>
    </row>
    <row r="28" spans="1:28" ht="15" customHeight="1">
      <c r="A28" s="1603"/>
      <c r="B28" s="1618"/>
      <c r="C28" s="1619"/>
      <c r="D28" s="1618"/>
      <c r="F28" s="1631" t="s">
        <v>40</v>
      </c>
      <c r="G28" s="686"/>
      <c r="H28" s="1632"/>
      <c r="I28" s="1632"/>
      <c r="J28" s="1632"/>
      <c r="K28" s="1666"/>
      <c r="L28" s="1631"/>
      <c r="M28" s="1633"/>
      <c r="N28" s="1632"/>
      <c r="O28" s="1633"/>
      <c r="P28" s="1634">
        <f>SUM(P29:P30)</f>
        <v>4560000</v>
      </c>
      <c r="Q28" s="1635">
        <f>P28</f>
        <v>4560000</v>
      </c>
      <c r="R28" s="1635">
        <v>3600000</v>
      </c>
      <c r="S28" s="1636">
        <f>Q28-R28</f>
        <v>960000</v>
      </c>
      <c r="T28" s="1637">
        <f>S28/R28</f>
        <v>0.26666666666666666</v>
      </c>
      <c r="W28" s="1614"/>
      <c r="X28" s="1614"/>
      <c r="Y28" s="1614"/>
      <c r="Z28" s="1614"/>
      <c r="AA28" s="1614"/>
      <c r="AB28" s="1614"/>
    </row>
    <row r="29" spans="1:28" ht="15" customHeight="1">
      <c r="A29" s="1603"/>
      <c r="B29" s="1618"/>
      <c r="C29" s="1619"/>
      <c r="D29" s="1618"/>
      <c r="F29" s="1650" t="s">
        <v>2185</v>
      </c>
      <c r="G29" s="702">
        <v>80000</v>
      </c>
      <c r="H29" s="1640" t="s">
        <v>21</v>
      </c>
      <c r="I29" s="1641">
        <v>4</v>
      </c>
      <c r="J29" s="1640" t="s">
        <v>21</v>
      </c>
      <c r="K29" s="1642">
        <v>12</v>
      </c>
      <c r="L29" s="1667"/>
      <c r="M29" s="1644"/>
      <c r="N29" s="1640"/>
      <c r="O29" s="1644" t="s">
        <v>22</v>
      </c>
      <c r="P29" s="1645">
        <f t="shared" si="5"/>
        <v>3840000</v>
      </c>
      <c r="Q29" s="1655"/>
      <c r="R29" s="1655"/>
      <c r="S29" s="1656"/>
      <c r="T29" s="1657"/>
      <c r="W29" s="1614"/>
      <c r="X29" s="1614"/>
      <c r="Y29" s="1614"/>
      <c r="Z29" s="1614"/>
      <c r="AA29" s="1614"/>
      <c r="AB29" s="1614"/>
    </row>
    <row r="30" spans="1:28" ht="15" customHeight="1">
      <c r="A30" s="1603"/>
      <c r="B30" s="1618"/>
      <c r="C30" s="1619"/>
      <c r="D30" s="1618"/>
      <c r="F30" s="1650" t="s">
        <v>457</v>
      </c>
      <c r="G30" s="702">
        <v>60000</v>
      </c>
      <c r="H30" s="1640" t="s">
        <v>21</v>
      </c>
      <c r="I30" s="1641">
        <v>1</v>
      </c>
      <c r="J30" s="1640" t="s">
        <v>21</v>
      </c>
      <c r="K30" s="1642">
        <v>12</v>
      </c>
      <c r="L30" s="1667"/>
      <c r="M30" s="1644"/>
      <c r="N30" s="1640"/>
      <c r="O30" s="1644" t="s">
        <v>22</v>
      </c>
      <c r="P30" s="1645">
        <f t="shared" si="5"/>
        <v>720000</v>
      </c>
      <c r="Q30" s="1655"/>
      <c r="R30" s="1655"/>
      <c r="S30" s="1656"/>
      <c r="T30" s="1657"/>
    </row>
    <row r="31" spans="1:28" ht="15" customHeight="1">
      <c r="A31" s="1603"/>
      <c r="B31" s="1618"/>
      <c r="C31" s="1619"/>
      <c r="D31" s="1618"/>
      <c r="F31" s="1631" t="s">
        <v>458</v>
      </c>
      <c r="G31" s="686"/>
      <c r="H31" s="1632"/>
      <c r="I31" s="1632"/>
      <c r="J31" s="1632"/>
      <c r="K31" s="1666"/>
      <c r="L31" s="1631"/>
      <c r="M31" s="1633"/>
      <c r="N31" s="1632"/>
      <c r="O31" s="1633"/>
      <c r="P31" s="1634">
        <f>SUM(P32)</f>
        <v>10920000</v>
      </c>
      <c r="Q31" s="1635">
        <f>P31</f>
        <v>10920000</v>
      </c>
      <c r="R31" s="1635">
        <v>7800000</v>
      </c>
      <c r="S31" s="1636">
        <f>Q31-R31</f>
        <v>3120000</v>
      </c>
      <c r="T31" s="1637">
        <f>S31/R31</f>
        <v>0.4</v>
      </c>
      <c r="W31" s="1614">
        <f>Q8+Q85+Q128+Q135</f>
        <v>375948000</v>
      </c>
    </row>
    <row r="32" spans="1:28" ht="15" customHeight="1">
      <c r="A32" s="1603"/>
      <c r="B32" s="1618"/>
      <c r="C32" s="1619"/>
      <c r="D32" s="1618"/>
      <c r="F32" s="1650" t="s">
        <v>459</v>
      </c>
      <c r="G32" s="702">
        <v>130000</v>
      </c>
      <c r="H32" s="1640" t="s">
        <v>21</v>
      </c>
      <c r="I32" s="1641">
        <v>7</v>
      </c>
      <c r="J32" s="1640" t="s">
        <v>21</v>
      </c>
      <c r="K32" s="1642">
        <v>12</v>
      </c>
      <c r="L32" s="1667"/>
      <c r="M32" s="1644"/>
      <c r="N32" s="1640"/>
      <c r="O32" s="1644" t="s">
        <v>22</v>
      </c>
      <c r="P32" s="1645">
        <f t="shared" si="5"/>
        <v>10920000</v>
      </c>
      <c r="Q32" s="1655"/>
      <c r="R32" s="1655"/>
      <c r="S32" s="1656"/>
      <c r="T32" s="1657"/>
    </row>
    <row r="33" spans="1:20 16376:16376" ht="15" customHeight="1">
      <c r="A33" s="1603"/>
      <c r="B33" s="1618"/>
      <c r="C33" s="1619"/>
      <c r="D33" s="1618"/>
      <c r="F33" s="1631" t="s">
        <v>460</v>
      </c>
      <c r="G33" s="686"/>
      <c r="H33" s="1632"/>
      <c r="I33" s="1632"/>
      <c r="J33" s="1632"/>
      <c r="K33" s="1666"/>
      <c r="L33" s="1631"/>
      <c r="M33" s="1633"/>
      <c r="N33" s="1632"/>
      <c r="O33" s="1633"/>
      <c r="P33" s="1634">
        <f>SUM(P34:P36)</f>
        <v>3960000</v>
      </c>
      <c r="Q33" s="1635">
        <f>P33</f>
        <v>3960000</v>
      </c>
      <c r="R33" s="1635">
        <v>2760000</v>
      </c>
      <c r="S33" s="1636">
        <f>Q33-R33</f>
        <v>1200000</v>
      </c>
      <c r="T33" s="1637">
        <f>S33/R33</f>
        <v>0.43478260869565216</v>
      </c>
    </row>
    <row r="34" spans="1:20 16376:16376" ht="15" customHeight="1">
      <c r="A34" s="1603"/>
      <c r="B34" s="1618"/>
      <c r="C34" s="1619"/>
      <c r="D34" s="1618"/>
      <c r="F34" s="1638" t="s">
        <v>2148</v>
      </c>
      <c r="G34" s="1639">
        <v>80000</v>
      </c>
      <c r="H34" s="1640" t="s">
        <v>2147</v>
      </c>
      <c r="I34" s="1641">
        <v>2</v>
      </c>
      <c r="J34" s="1640" t="s">
        <v>21</v>
      </c>
      <c r="K34" s="1642">
        <v>12</v>
      </c>
      <c r="L34" s="1667"/>
      <c r="M34" s="1644"/>
      <c r="N34" s="1640"/>
      <c r="O34" s="1644" t="s">
        <v>22</v>
      </c>
      <c r="P34" s="1645">
        <f>ROUNDUP(G34*I34*K34,-3)</f>
        <v>1920000</v>
      </c>
      <c r="Q34" s="1655"/>
      <c r="R34" s="1655"/>
      <c r="S34" s="1656"/>
      <c r="T34" s="1657"/>
    </row>
    <row r="35" spans="1:20 16376:16376" ht="15" customHeight="1">
      <c r="A35" s="1603"/>
      <c r="B35" s="1618"/>
      <c r="C35" s="1619"/>
      <c r="D35" s="1618"/>
      <c r="F35" s="1638" t="s">
        <v>2149</v>
      </c>
      <c r="G35" s="1639">
        <v>60000</v>
      </c>
      <c r="H35" s="1640" t="s">
        <v>2147</v>
      </c>
      <c r="I35" s="1641">
        <v>2</v>
      </c>
      <c r="J35" s="1640" t="s">
        <v>21</v>
      </c>
      <c r="K35" s="1642">
        <v>12</v>
      </c>
      <c r="L35" s="1667"/>
      <c r="M35" s="1644"/>
      <c r="N35" s="1640"/>
      <c r="O35" s="1644" t="s">
        <v>1036</v>
      </c>
      <c r="P35" s="1645">
        <f>ROUNDUP(G35*I35*K35,-3)</f>
        <v>1440000</v>
      </c>
      <c r="Q35" s="1655"/>
      <c r="R35" s="1655"/>
      <c r="S35" s="1656"/>
      <c r="T35" s="1657"/>
    </row>
    <row r="36" spans="1:20 16376:16376" ht="15" customHeight="1">
      <c r="A36" s="1603"/>
      <c r="B36" s="1618"/>
      <c r="C36" s="1619"/>
      <c r="D36" s="1618"/>
      <c r="F36" s="1650" t="s">
        <v>2150</v>
      </c>
      <c r="G36" s="702">
        <v>50000</v>
      </c>
      <c r="H36" s="1640" t="s">
        <v>21</v>
      </c>
      <c r="I36" s="1641">
        <v>1</v>
      </c>
      <c r="J36" s="1640" t="s">
        <v>1333</v>
      </c>
      <c r="K36" s="1642">
        <v>12</v>
      </c>
      <c r="L36" s="1667"/>
      <c r="M36" s="1644"/>
      <c r="N36" s="1640"/>
      <c r="O36" s="1644" t="s">
        <v>22</v>
      </c>
      <c r="P36" s="1645">
        <f>ROUNDUP(G36*I36*K36,-3)</f>
        <v>600000</v>
      </c>
      <c r="Q36" s="1655"/>
      <c r="R36" s="1655"/>
      <c r="S36" s="1656"/>
      <c r="T36" s="1657"/>
    </row>
    <row r="37" spans="1:20 16376:16376" ht="15" customHeight="1">
      <c r="A37" s="1603"/>
      <c r="B37" s="1618"/>
      <c r="C37" s="1619"/>
      <c r="D37" s="1618"/>
      <c r="F37" s="1631" t="s">
        <v>47</v>
      </c>
      <c r="G37" s="686"/>
      <c r="H37" s="1632"/>
      <c r="I37" s="1632"/>
      <c r="J37" s="1632"/>
      <c r="K37" s="1632"/>
      <c r="L37" s="1631"/>
      <c r="M37" s="1633"/>
      <c r="N37" s="1632"/>
      <c r="O37" s="1633"/>
      <c r="P37" s="1634">
        <f>SUM(P38:P45)</f>
        <v>11345000</v>
      </c>
      <c r="Q37" s="1635">
        <f>P37</f>
        <v>11345000</v>
      </c>
      <c r="R37" s="1635">
        <v>10616000</v>
      </c>
      <c r="S37" s="1636">
        <f>Q37-R37</f>
        <v>729000</v>
      </c>
      <c r="T37" s="1637">
        <f>S37/R37</f>
        <v>6.8669932177844756E-2</v>
      </c>
    </row>
    <row r="38" spans="1:20 16376:16376" ht="15" customHeight="1">
      <c r="A38" s="1693"/>
      <c r="B38" s="1694"/>
      <c r="C38" s="1695"/>
      <c r="D38" s="1694"/>
      <c r="E38" s="3323"/>
      <c r="F38" s="3067" t="s">
        <v>2151</v>
      </c>
      <c r="G38" s="3068">
        <v>3494600</v>
      </c>
      <c r="H38" s="1674" t="s">
        <v>2156</v>
      </c>
      <c r="I38" s="3069">
        <v>0.5</v>
      </c>
      <c r="J38" s="1674"/>
      <c r="K38" s="1674"/>
      <c r="L38" s="1675"/>
      <c r="M38" s="1676"/>
      <c r="N38" s="1674"/>
      <c r="O38" s="1676" t="s">
        <v>22</v>
      </c>
      <c r="P38" s="3070">
        <f>ROUNDUP(G38*I38,-3)</f>
        <v>1748000</v>
      </c>
      <c r="Q38" s="1719"/>
      <c r="R38" s="1719"/>
      <c r="S38" s="1701"/>
      <c r="T38" s="1702"/>
    </row>
    <row r="39" spans="1:20 16376:16376" ht="15" customHeight="1">
      <c r="A39" s="1603"/>
      <c r="B39" s="1618"/>
      <c r="C39" s="1619"/>
      <c r="D39" s="1618"/>
      <c r="F39" s="1638" t="s">
        <v>2152</v>
      </c>
      <c r="G39" s="880">
        <v>3546590</v>
      </c>
      <c r="H39" s="1640" t="s">
        <v>2157</v>
      </c>
      <c r="I39" s="1668">
        <v>0.5</v>
      </c>
      <c r="J39" s="1640"/>
      <c r="K39" s="1640"/>
      <c r="L39" s="1667"/>
      <c r="M39" s="1644"/>
      <c r="N39" s="1640"/>
      <c r="O39" s="1644" t="s">
        <v>22</v>
      </c>
      <c r="P39" s="1669">
        <f>ROUNDUP(G39*I39,-3)</f>
        <v>1774000</v>
      </c>
      <c r="Q39" s="1655"/>
      <c r="R39" s="1655"/>
      <c r="S39" s="1656"/>
      <c r="T39" s="1657"/>
    </row>
    <row r="40" spans="1:20 16376:16376" ht="15" customHeight="1">
      <c r="A40" s="1603"/>
      <c r="B40" s="1618"/>
      <c r="C40" s="1619"/>
      <c r="D40" s="1618"/>
      <c r="F40" s="1650" t="s">
        <v>457</v>
      </c>
      <c r="G40" s="880">
        <v>2737350</v>
      </c>
      <c r="H40" s="1640" t="s">
        <v>21</v>
      </c>
      <c r="I40" s="1668">
        <v>0.5</v>
      </c>
      <c r="J40" s="1640" t="s">
        <v>2158</v>
      </c>
      <c r="K40" s="1670">
        <v>2</v>
      </c>
      <c r="L40" s="1667"/>
      <c r="M40" s="1644"/>
      <c r="N40" s="1640"/>
      <c r="O40" s="1644" t="s">
        <v>22</v>
      </c>
      <c r="P40" s="1669">
        <f>ROUNDUP(G40*I40*K40,-3)</f>
        <v>2738000</v>
      </c>
      <c r="Q40" s="1655"/>
      <c r="R40" s="1655"/>
      <c r="S40" s="1656"/>
      <c r="T40" s="1657"/>
    </row>
    <row r="41" spans="1:20 16376:16376" ht="15" customHeight="1">
      <c r="A41" s="1603"/>
      <c r="B41" s="1618"/>
      <c r="C41" s="1619"/>
      <c r="D41" s="1618"/>
      <c r="F41" s="1650" t="s">
        <v>457</v>
      </c>
      <c r="G41" s="880">
        <v>2737350</v>
      </c>
      <c r="H41" s="1640" t="s">
        <v>21</v>
      </c>
      <c r="I41" s="1668">
        <v>0.5</v>
      </c>
      <c r="J41" s="1640" t="s">
        <v>2158</v>
      </c>
      <c r="K41" s="1670">
        <v>2</v>
      </c>
      <c r="L41" s="1667"/>
      <c r="M41" s="1644"/>
      <c r="N41" s="1640"/>
      <c r="O41" s="1644" t="s">
        <v>22</v>
      </c>
      <c r="P41" s="1669">
        <f>ROUNDUP(G41*I41*K41,-3)</f>
        <v>2738000</v>
      </c>
      <c r="Q41" s="1655"/>
      <c r="R41" s="1655"/>
      <c r="S41" s="1656"/>
      <c r="T41" s="1657"/>
    </row>
    <row r="42" spans="1:20 16376:16376" ht="15" customHeight="1">
      <c r="A42" s="1603"/>
      <c r="B42" s="1618"/>
      <c r="C42" s="1619"/>
      <c r="D42" s="1618"/>
      <c r="F42" s="1650" t="s">
        <v>2153</v>
      </c>
      <c r="G42" s="880">
        <v>1761890</v>
      </c>
      <c r="H42" s="1640" t="s">
        <v>454</v>
      </c>
      <c r="I42" s="1668">
        <v>0.1</v>
      </c>
      <c r="J42" s="1640"/>
      <c r="K42" s="1671"/>
      <c r="L42" s="1667"/>
      <c r="M42" s="1644"/>
      <c r="N42" s="1640"/>
      <c r="O42" s="1644" t="s">
        <v>22</v>
      </c>
      <c r="P42" s="1669">
        <f t="shared" ref="P42:P44" si="7">ROUNDUP(G42*I42,-3)</f>
        <v>177000</v>
      </c>
      <c r="Q42" s="1655"/>
      <c r="R42" s="1655"/>
      <c r="S42" s="1656"/>
      <c r="T42" s="1657"/>
    </row>
    <row r="43" spans="1:20 16376:16376" ht="15" customHeight="1">
      <c r="A43" s="1603"/>
      <c r="B43" s="1618"/>
      <c r="C43" s="1619"/>
      <c r="D43" s="1618"/>
      <c r="F43" s="1650" t="s">
        <v>2153</v>
      </c>
      <c r="G43" s="880">
        <v>1818520</v>
      </c>
      <c r="H43" s="1640" t="s">
        <v>2157</v>
      </c>
      <c r="I43" s="1668">
        <v>0.1</v>
      </c>
      <c r="J43" s="1640"/>
      <c r="K43" s="1671"/>
      <c r="L43" s="1667"/>
      <c r="M43" s="1644"/>
      <c r="N43" s="1640"/>
      <c r="O43" s="1644" t="s">
        <v>22</v>
      </c>
      <c r="P43" s="1669">
        <f t="shared" si="7"/>
        <v>182000</v>
      </c>
      <c r="Q43" s="1655"/>
      <c r="R43" s="1655"/>
      <c r="S43" s="1656"/>
      <c r="T43" s="1657"/>
    </row>
    <row r="44" spans="1:20 16376:16376" ht="15" customHeight="1">
      <c r="A44" s="1603"/>
      <c r="B44" s="1618"/>
      <c r="C44" s="1619"/>
      <c r="D44" s="1618"/>
      <c r="F44" s="1650" t="s">
        <v>2154</v>
      </c>
      <c r="G44" s="880">
        <v>2208080</v>
      </c>
      <c r="H44" s="1640" t="s">
        <v>2157</v>
      </c>
      <c r="I44" s="1668">
        <v>0.45</v>
      </c>
      <c r="J44" s="1640"/>
      <c r="K44" s="1671"/>
      <c r="L44" s="1667"/>
      <c r="M44" s="1644"/>
      <c r="N44" s="1640"/>
      <c r="O44" s="1644" t="s">
        <v>22</v>
      </c>
      <c r="P44" s="1669">
        <f t="shared" si="7"/>
        <v>994000</v>
      </c>
      <c r="Q44" s="1655"/>
      <c r="R44" s="1655"/>
      <c r="S44" s="1656"/>
      <c r="T44" s="1657"/>
    </row>
    <row r="45" spans="1:20 16376:16376" ht="15" customHeight="1">
      <c r="A45" s="1603"/>
      <c r="B45" s="1618"/>
      <c r="C45" s="1619"/>
      <c r="D45" s="1618"/>
      <c r="F45" s="1650" t="s">
        <v>2155</v>
      </c>
      <c r="G45" s="880">
        <v>2208080</v>
      </c>
      <c r="H45" s="1640" t="s">
        <v>1333</v>
      </c>
      <c r="I45" s="1668">
        <v>0.45</v>
      </c>
      <c r="J45" s="1640"/>
      <c r="K45" s="1671"/>
      <c r="L45" s="1643"/>
      <c r="M45" s="1644"/>
      <c r="N45" s="1640"/>
      <c r="O45" s="1644" t="s">
        <v>22</v>
      </c>
      <c r="P45" s="1669">
        <f>ROUNDUP(G45*I45,-3)</f>
        <v>994000</v>
      </c>
      <c r="Q45" s="1655"/>
      <c r="R45" s="1655"/>
      <c r="S45" s="1656"/>
      <c r="T45" s="1657"/>
    </row>
    <row r="46" spans="1:20 16376:16376" ht="15" customHeight="1">
      <c r="A46" s="1603"/>
      <c r="B46" s="1618"/>
      <c r="C46" s="1619"/>
      <c r="D46" s="1618"/>
      <c r="F46" s="1631" t="s">
        <v>48</v>
      </c>
      <c r="G46" s="686"/>
      <c r="H46" s="1632"/>
      <c r="I46" s="1632"/>
      <c r="J46" s="1632"/>
      <c r="K46" s="1632"/>
      <c r="L46" s="1631"/>
      <c r="M46" s="1633"/>
      <c r="N46" s="1632"/>
      <c r="O46" s="1633"/>
      <c r="P46" s="1634">
        <f>SUM(P47:P53)</f>
        <v>15662000</v>
      </c>
      <c r="Q46" s="1635">
        <f>P46</f>
        <v>15662000</v>
      </c>
      <c r="R46" s="1635">
        <v>14902000</v>
      </c>
      <c r="S46" s="1636">
        <f>Q46-R46</f>
        <v>760000</v>
      </c>
      <c r="T46" s="1637">
        <f>S46/R46</f>
        <v>5.0999865789826869E-2</v>
      </c>
    </row>
    <row r="47" spans="1:20 16376:16376" ht="15" customHeight="1">
      <c r="A47" s="1603"/>
      <c r="B47" s="1618"/>
      <c r="C47" s="1619"/>
      <c r="D47" s="1618"/>
      <c r="F47" s="1638" t="s">
        <v>450</v>
      </c>
      <c r="G47" s="880">
        <v>3546090</v>
      </c>
      <c r="H47" s="1640" t="s">
        <v>21</v>
      </c>
      <c r="I47" s="1668">
        <v>1.2</v>
      </c>
      <c r="J47" s="1640"/>
      <c r="K47" s="1671"/>
      <c r="L47" s="1667"/>
      <c r="M47" s="1644"/>
      <c r="N47" s="1672"/>
      <c r="O47" s="1644" t="s">
        <v>22</v>
      </c>
      <c r="P47" s="1669">
        <f t="shared" ref="P47:P53" si="8">ROUNDUP(G47*I47,-3)</f>
        <v>4256000</v>
      </c>
      <c r="Q47" s="1655"/>
      <c r="R47" s="1655"/>
      <c r="S47" s="1656"/>
      <c r="T47" s="1657"/>
    </row>
    <row r="48" spans="1:20 16376:16376" ht="15" customHeight="1">
      <c r="A48" s="1603"/>
      <c r="B48" s="1618"/>
      <c r="C48" s="1619"/>
      <c r="D48" s="1618"/>
      <c r="F48" s="1650" t="s">
        <v>457</v>
      </c>
      <c r="G48" s="880">
        <v>2737340</v>
      </c>
      <c r="H48" s="1640" t="s">
        <v>21</v>
      </c>
      <c r="I48" s="1668">
        <v>0.6</v>
      </c>
      <c r="J48" s="1640"/>
      <c r="K48" s="1671"/>
      <c r="L48" s="1667"/>
      <c r="M48" s="1644"/>
      <c r="N48" s="1672"/>
      <c r="O48" s="1644" t="s">
        <v>22</v>
      </c>
      <c r="P48" s="1669">
        <f t="shared" si="8"/>
        <v>1643000</v>
      </c>
      <c r="Q48" s="1655"/>
      <c r="R48" s="1655"/>
      <c r="S48" s="1656"/>
      <c r="T48" s="1657"/>
      <c r="XEV48" s="1585">
        <f>SUM(A48:XEU48)</f>
        <v>4380340.5999999996</v>
      </c>
    </row>
    <row r="49" spans="1:20" ht="15" customHeight="1">
      <c r="A49" s="1603"/>
      <c r="B49" s="1618"/>
      <c r="C49" s="1619"/>
      <c r="D49" s="1618"/>
      <c r="F49" s="1650" t="s">
        <v>457</v>
      </c>
      <c r="G49" s="880">
        <v>2795020</v>
      </c>
      <c r="H49" s="1640" t="s">
        <v>21</v>
      </c>
      <c r="I49" s="1668">
        <v>0.6</v>
      </c>
      <c r="J49" s="1640"/>
      <c r="K49" s="1671"/>
      <c r="L49" s="1667"/>
      <c r="M49" s="1644"/>
      <c r="N49" s="1672"/>
      <c r="O49" s="1644" t="s">
        <v>22</v>
      </c>
      <c r="P49" s="1669">
        <f t="shared" si="8"/>
        <v>1678000</v>
      </c>
      <c r="Q49" s="1655"/>
      <c r="R49" s="1655"/>
      <c r="S49" s="1656"/>
      <c r="T49" s="1657"/>
    </row>
    <row r="50" spans="1:20" ht="15" customHeight="1">
      <c r="A50" s="1603"/>
      <c r="B50" s="1618"/>
      <c r="C50" s="1619"/>
      <c r="D50" s="1618"/>
      <c r="F50" s="1650" t="s">
        <v>457</v>
      </c>
      <c r="G50" s="880">
        <v>2737340</v>
      </c>
      <c r="H50" s="1640" t="s">
        <v>21</v>
      </c>
      <c r="I50" s="1668">
        <v>1.2</v>
      </c>
      <c r="J50" s="1640"/>
      <c r="K50" s="1671"/>
      <c r="L50" s="1667"/>
      <c r="M50" s="1644"/>
      <c r="N50" s="1672"/>
      <c r="O50" s="1644" t="s">
        <v>22</v>
      </c>
      <c r="P50" s="1669">
        <f t="shared" si="8"/>
        <v>3285000</v>
      </c>
      <c r="Q50" s="1655"/>
      <c r="R50" s="1655"/>
      <c r="S50" s="1656"/>
      <c r="T50" s="1657"/>
    </row>
    <row r="51" spans="1:20" ht="15" customHeight="1">
      <c r="A51" s="1603"/>
      <c r="B51" s="1618"/>
      <c r="C51" s="1619"/>
      <c r="D51" s="1618"/>
      <c r="F51" s="1650" t="s">
        <v>453</v>
      </c>
      <c r="G51" s="880">
        <v>1761860</v>
      </c>
      <c r="H51" s="1640" t="s">
        <v>454</v>
      </c>
      <c r="I51" s="1668">
        <v>0.6</v>
      </c>
      <c r="J51" s="1640"/>
      <c r="K51" s="1671"/>
      <c r="L51" s="1667"/>
      <c r="M51" s="1644"/>
      <c r="N51" s="1672"/>
      <c r="O51" s="1644" t="s">
        <v>22</v>
      </c>
      <c r="P51" s="1669">
        <f t="shared" si="8"/>
        <v>1058000</v>
      </c>
      <c r="Q51" s="1655"/>
      <c r="R51" s="1655"/>
      <c r="S51" s="1656"/>
      <c r="T51" s="1657"/>
    </row>
    <row r="52" spans="1:20" ht="15" customHeight="1">
      <c r="A52" s="1603"/>
      <c r="B52" s="1618"/>
      <c r="C52" s="1619"/>
      <c r="D52" s="1618"/>
      <c r="F52" s="1650" t="s">
        <v>453</v>
      </c>
      <c r="G52" s="880">
        <v>1818510</v>
      </c>
      <c r="H52" s="1640" t="s">
        <v>454</v>
      </c>
      <c r="I52" s="1668">
        <v>0.6</v>
      </c>
      <c r="J52" s="1640"/>
      <c r="K52" s="1671"/>
      <c r="L52" s="1667"/>
      <c r="M52" s="1644"/>
      <c r="N52" s="1672"/>
      <c r="O52" s="1644" t="s">
        <v>22</v>
      </c>
      <c r="P52" s="1669">
        <f t="shared" si="8"/>
        <v>1092000</v>
      </c>
      <c r="Q52" s="1655"/>
      <c r="R52" s="1655"/>
      <c r="S52" s="1656"/>
      <c r="T52" s="1657"/>
    </row>
    <row r="53" spans="1:20" ht="15" customHeight="1">
      <c r="A53" s="1603"/>
      <c r="B53" s="1618"/>
      <c r="C53" s="1619"/>
      <c r="D53" s="1618"/>
      <c r="F53" s="1650" t="s">
        <v>455</v>
      </c>
      <c r="G53" s="880">
        <v>2208080</v>
      </c>
      <c r="H53" s="1640" t="s">
        <v>21</v>
      </c>
      <c r="I53" s="1668">
        <v>1.2</v>
      </c>
      <c r="J53" s="1640"/>
      <c r="K53" s="1671"/>
      <c r="L53" s="1667"/>
      <c r="M53" s="1644"/>
      <c r="N53" s="1672"/>
      <c r="O53" s="1644" t="s">
        <v>22</v>
      </c>
      <c r="P53" s="1669">
        <f t="shared" si="8"/>
        <v>2650000</v>
      </c>
      <c r="Q53" s="1655"/>
      <c r="R53" s="1655"/>
      <c r="S53" s="1656"/>
      <c r="T53" s="1657"/>
    </row>
    <row r="54" spans="1:20" ht="15" customHeight="1">
      <c r="A54" s="1603"/>
      <c r="B54" s="1618"/>
      <c r="C54" s="1619"/>
      <c r="D54" s="1618"/>
      <c r="F54" s="1631" t="s">
        <v>43</v>
      </c>
      <c r="G54" s="686"/>
      <c r="H54" s="1632"/>
      <c r="I54" s="1632"/>
      <c r="J54" s="1632"/>
      <c r="K54" s="1632"/>
      <c r="L54" s="1631"/>
      <c r="M54" s="1633"/>
      <c r="N54" s="1632"/>
      <c r="O54" s="1633"/>
      <c r="P54" s="1634">
        <f>SUM(P55:P55)</f>
        <v>4200000</v>
      </c>
      <c r="Q54" s="1635">
        <f>P54</f>
        <v>4200000</v>
      </c>
      <c r="R54" s="1635">
        <v>687000</v>
      </c>
      <c r="S54" s="1636">
        <f>Q54-R54</f>
        <v>3513000</v>
      </c>
      <c r="T54" s="1637">
        <f>S54/R54</f>
        <v>5.1135371179039302</v>
      </c>
    </row>
    <row r="55" spans="1:20" ht="15" customHeight="1">
      <c r="A55" s="1603"/>
      <c r="B55" s="1618"/>
      <c r="C55" s="1619"/>
      <c r="D55" s="1618"/>
      <c r="F55" s="1650" t="s">
        <v>461</v>
      </c>
      <c r="G55" s="880">
        <v>50000</v>
      </c>
      <c r="H55" s="1640" t="s">
        <v>454</v>
      </c>
      <c r="I55" s="1641">
        <v>7</v>
      </c>
      <c r="J55" s="1640" t="s">
        <v>454</v>
      </c>
      <c r="K55" s="1642">
        <v>12</v>
      </c>
      <c r="L55" s="1667"/>
      <c r="M55" s="1644"/>
      <c r="N55" s="1672"/>
      <c r="O55" s="1644" t="s">
        <v>22</v>
      </c>
      <c r="P55" s="1645">
        <f>ROUNDUP(G55*I55*K55,-3)</f>
        <v>4200000</v>
      </c>
      <c r="Q55" s="1655"/>
      <c r="R55" s="1655"/>
      <c r="S55" s="1656"/>
      <c r="T55" s="1657"/>
    </row>
    <row r="56" spans="1:20" ht="15" customHeight="1">
      <c r="A56" s="1603"/>
      <c r="B56" s="1618"/>
      <c r="C56" s="1619"/>
      <c r="D56" s="1618"/>
      <c r="F56" s="1631" t="s">
        <v>462</v>
      </c>
      <c r="G56" s="686"/>
      <c r="H56" s="1632"/>
      <c r="I56" s="1632"/>
      <c r="J56" s="1632"/>
      <c r="K56" s="1632"/>
      <c r="L56" s="1631"/>
      <c r="M56" s="1633"/>
      <c r="N56" s="1632"/>
      <c r="O56" s="1633"/>
      <c r="P56" s="1634">
        <f>P57</f>
        <v>8400000</v>
      </c>
      <c r="Q56" s="1635">
        <f>P56</f>
        <v>8400000</v>
      </c>
      <c r="R56" s="1635">
        <v>6000000</v>
      </c>
      <c r="S56" s="1636">
        <f>Q56-R56</f>
        <v>2400000</v>
      </c>
      <c r="T56" s="1637">
        <f>S56/R56</f>
        <v>0.4</v>
      </c>
    </row>
    <row r="57" spans="1:20" ht="15" customHeight="1">
      <c r="A57" s="1603"/>
      <c r="B57" s="1618"/>
      <c r="C57" s="1619"/>
      <c r="D57" s="1618"/>
      <c r="F57" s="1673" t="s">
        <v>463</v>
      </c>
      <c r="G57" s="880">
        <v>100000</v>
      </c>
      <c r="H57" s="1640" t="s">
        <v>2159</v>
      </c>
      <c r="I57" s="1641">
        <v>7</v>
      </c>
      <c r="J57" s="1674" t="s">
        <v>21</v>
      </c>
      <c r="K57" s="1642">
        <v>12</v>
      </c>
      <c r="L57" s="1675"/>
      <c r="M57" s="1676"/>
      <c r="N57" s="1677"/>
      <c r="O57" s="1676" t="s">
        <v>22</v>
      </c>
      <c r="P57" s="1678">
        <f>ROUNDUP(G57*I57*K57,-3)</f>
        <v>8400000</v>
      </c>
      <c r="Q57" s="1655"/>
      <c r="R57" s="1655"/>
      <c r="S57" s="1656"/>
      <c r="T57" s="1657"/>
    </row>
    <row r="58" spans="1:20" s="1684" customFormat="1" ht="15" customHeight="1">
      <c r="A58" s="1679"/>
      <c r="B58" s="1680"/>
      <c r="C58" s="1681"/>
      <c r="D58" s="1680"/>
      <c r="E58" s="3637" t="s">
        <v>3090</v>
      </c>
      <c r="F58" s="3638"/>
      <c r="G58" s="3638"/>
      <c r="H58" s="3638"/>
      <c r="I58" s="3638"/>
      <c r="J58" s="3638"/>
      <c r="K58" s="3638"/>
      <c r="L58" s="3638"/>
      <c r="M58" s="3638"/>
      <c r="N58" s="3638"/>
      <c r="O58" s="3638"/>
      <c r="P58" s="3639"/>
      <c r="Q58" s="1682">
        <f>ROUNDUP(P59+P63,-3)</f>
        <v>19261000</v>
      </c>
      <c r="R58" s="1682">
        <v>0</v>
      </c>
      <c r="S58" s="1683">
        <f>Q58-R58</f>
        <v>19261000</v>
      </c>
      <c r="T58" s="3271"/>
    </row>
    <row r="59" spans="1:20" s="1684" customFormat="1" ht="15" customHeight="1">
      <c r="A59" s="1679"/>
      <c r="B59" s="1680"/>
      <c r="C59" s="1681"/>
      <c r="D59" s="1680"/>
      <c r="E59" s="3324"/>
      <c r="F59" s="1631" t="s">
        <v>2174</v>
      </c>
      <c r="G59" s="1212"/>
      <c r="H59" s="1632"/>
      <c r="I59" s="1685"/>
      <c r="J59" s="1632"/>
      <c r="K59" s="1686"/>
      <c r="L59" s="1631"/>
      <c r="M59" s="1633"/>
      <c r="N59" s="1687"/>
      <c r="O59" s="1633"/>
      <c r="P59" s="1634">
        <f>SUM(P60:P62)</f>
        <v>10320000</v>
      </c>
      <c r="Q59" s="1635">
        <f>P59</f>
        <v>10320000</v>
      </c>
      <c r="R59" s="1688">
        <v>0</v>
      </c>
      <c r="S59" s="1689"/>
      <c r="T59" s="1690"/>
    </row>
    <row r="60" spans="1:20" s="1684" customFormat="1" ht="15" customHeight="1">
      <c r="A60" s="1679"/>
      <c r="B60" s="1680"/>
      <c r="C60" s="1681"/>
      <c r="D60" s="1680"/>
      <c r="E60" s="3324"/>
      <c r="F60" s="1650" t="s">
        <v>2175</v>
      </c>
      <c r="G60" s="880">
        <v>750000</v>
      </c>
      <c r="H60" s="1640" t="s">
        <v>2162</v>
      </c>
      <c r="I60" s="1641">
        <v>1</v>
      </c>
      <c r="J60" s="1640" t="s">
        <v>1701</v>
      </c>
      <c r="K60" s="1642">
        <v>12</v>
      </c>
      <c r="L60" s="1667"/>
      <c r="M60" s="1644"/>
      <c r="N60" s="1672"/>
      <c r="O60" s="1644" t="s">
        <v>2165</v>
      </c>
      <c r="P60" s="1645">
        <f>ROUNDUP(G60*I60*K60,-3)</f>
        <v>9000000</v>
      </c>
      <c r="Q60" s="1655"/>
      <c r="R60" s="1655"/>
      <c r="S60" s="1656"/>
      <c r="T60" s="1657"/>
    </row>
    <row r="61" spans="1:20" s="1684" customFormat="1" ht="15" customHeight="1">
      <c r="A61" s="1679"/>
      <c r="B61" s="1680"/>
      <c r="C61" s="1681"/>
      <c r="D61" s="1680"/>
      <c r="E61" s="3324"/>
      <c r="F61" s="1650" t="s">
        <v>2176</v>
      </c>
      <c r="G61" s="880">
        <v>60000</v>
      </c>
      <c r="H61" s="1640" t="s">
        <v>1701</v>
      </c>
      <c r="I61" s="1641">
        <v>1</v>
      </c>
      <c r="J61" s="1640" t="s">
        <v>2162</v>
      </c>
      <c r="K61" s="1642">
        <v>12</v>
      </c>
      <c r="L61" s="1667"/>
      <c r="M61" s="1644"/>
      <c r="N61" s="1672"/>
      <c r="O61" s="1644" t="s">
        <v>2165</v>
      </c>
      <c r="P61" s="1645">
        <f>ROUNDUP(G61*I61*K61,-3)</f>
        <v>720000</v>
      </c>
      <c r="Q61" s="1655"/>
      <c r="R61" s="1655"/>
      <c r="S61" s="1656"/>
      <c r="T61" s="1657"/>
    </row>
    <row r="62" spans="1:20" s="1684" customFormat="1" ht="15" customHeight="1">
      <c r="A62" s="1679"/>
      <c r="B62" s="1680"/>
      <c r="C62" s="1681"/>
      <c r="D62" s="1680"/>
      <c r="E62" s="3324"/>
      <c r="F62" s="1650" t="s">
        <v>2177</v>
      </c>
      <c r="G62" s="880">
        <v>50000</v>
      </c>
      <c r="H62" s="1640" t="s">
        <v>1701</v>
      </c>
      <c r="I62" s="1641">
        <v>1</v>
      </c>
      <c r="J62" s="1640" t="s">
        <v>2162</v>
      </c>
      <c r="K62" s="1642">
        <v>12</v>
      </c>
      <c r="L62" s="1667"/>
      <c r="M62" s="1644"/>
      <c r="N62" s="1672"/>
      <c r="O62" s="1644" t="s">
        <v>2165</v>
      </c>
      <c r="P62" s="1645">
        <f>ROUNDUP(G62*I62*K62,-3)</f>
        <v>600000</v>
      </c>
      <c r="Q62" s="1655"/>
      <c r="R62" s="1655"/>
      <c r="S62" s="1656"/>
      <c r="T62" s="1657"/>
    </row>
    <row r="63" spans="1:20" s="1684" customFormat="1" ht="15" customHeight="1">
      <c r="A63" s="1679"/>
      <c r="B63" s="1680"/>
      <c r="C63" s="1681"/>
      <c r="D63" s="1680"/>
      <c r="E63" s="3324"/>
      <c r="F63" s="1631" t="s">
        <v>2168</v>
      </c>
      <c r="G63" s="1212"/>
      <c r="H63" s="1632"/>
      <c r="I63" s="1685"/>
      <c r="J63" s="1632"/>
      <c r="K63" s="1686"/>
      <c r="L63" s="1631"/>
      <c r="M63" s="1633"/>
      <c r="N63" s="1687"/>
      <c r="O63" s="1633"/>
      <c r="P63" s="1634">
        <f>SUM(P64:P70)</f>
        <v>8941000</v>
      </c>
      <c r="Q63" s="1635">
        <f>P63</f>
        <v>8941000</v>
      </c>
      <c r="R63" s="1688">
        <v>0</v>
      </c>
      <c r="S63" s="1636">
        <f>Q63-R63</f>
        <v>8941000</v>
      </c>
      <c r="T63" s="1637"/>
    </row>
    <row r="64" spans="1:20" s="1684" customFormat="1" ht="15" customHeight="1">
      <c r="A64" s="1679"/>
      <c r="B64" s="1680"/>
      <c r="C64" s="1681"/>
      <c r="D64" s="1680"/>
      <c r="E64" s="3324"/>
      <c r="F64" s="1650" t="s">
        <v>2178</v>
      </c>
      <c r="G64" s="880">
        <v>150000</v>
      </c>
      <c r="H64" s="1640" t="s">
        <v>2162</v>
      </c>
      <c r="I64" s="1641">
        <v>2</v>
      </c>
      <c r="J64" s="1640" t="s">
        <v>1701</v>
      </c>
      <c r="K64" s="1642">
        <v>12</v>
      </c>
      <c r="L64" s="1667"/>
      <c r="M64" s="1644"/>
      <c r="N64" s="1672"/>
      <c r="O64" s="1644" t="s">
        <v>2165</v>
      </c>
      <c r="P64" s="1645">
        <f t="shared" ref="P64:P70" si="9">ROUNDUP(G64*I64*K64,-3)</f>
        <v>3600000</v>
      </c>
      <c r="Q64" s="1655"/>
      <c r="R64" s="1655"/>
      <c r="S64" s="1656"/>
      <c r="T64" s="1657"/>
    </row>
    <row r="65" spans="1:20" s="1684" customFormat="1" ht="15" customHeight="1">
      <c r="A65" s="1679"/>
      <c r="B65" s="1680"/>
      <c r="C65" s="1681"/>
      <c r="D65" s="1680"/>
      <c r="E65" s="3324"/>
      <c r="F65" s="1650" t="s">
        <v>2179</v>
      </c>
      <c r="G65" s="880">
        <v>50000</v>
      </c>
      <c r="H65" s="1640" t="s">
        <v>1701</v>
      </c>
      <c r="I65" s="1641">
        <v>2</v>
      </c>
      <c r="J65" s="1640" t="s">
        <v>1701</v>
      </c>
      <c r="K65" s="1642">
        <v>12</v>
      </c>
      <c r="L65" s="1667"/>
      <c r="M65" s="1644"/>
      <c r="N65" s="1672"/>
      <c r="O65" s="1644" t="s">
        <v>1049</v>
      </c>
      <c r="P65" s="1645">
        <f t="shared" si="9"/>
        <v>1200000</v>
      </c>
      <c r="Q65" s="1655"/>
      <c r="R65" s="1655"/>
      <c r="S65" s="1656"/>
      <c r="T65" s="1657"/>
    </row>
    <row r="66" spans="1:20" s="1684" customFormat="1" ht="15" customHeight="1">
      <c r="A66" s="1679"/>
      <c r="B66" s="1680"/>
      <c r="C66" s="1681"/>
      <c r="D66" s="1680"/>
      <c r="E66" s="3324"/>
      <c r="F66" s="1650" t="s">
        <v>2180</v>
      </c>
      <c r="G66" s="880">
        <v>100000</v>
      </c>
      <c r="H66" s="1640" t="s">
        <v>2162</v>
      </c>
      <c r="I66" s="1641">
        <v>2</v>
      </c>
      <c r="J66" s="1640" t="s">
        <v>2162</v>
      </c>
      <c r="K66" s="1642">
        <v>12</v>
      </c>
      <c r="L66" s="1667"/>
      <c r="M66" s="1644"/>
      <c r="N66" s="1672"/>
      <c r="O66" s="1644" t="s">
        <v>2165</v>
      </c>
      <c r="P66" s="1645">
        <f t="shared" si="9"/>
        <v>2400000</v>
      </c>
      <c r="Q66" s="1655"/>
      <c r="R66" s="1655"/>
      <c r="S66" s="1656"/>
      <c r="T66" s="1657"/>
    </row>
    <row r="67" spans="1:20" s="1684" customFormat="1" ht="15" customHeight="1">
      <c r="A67" s="1679"/>
      <c r="B67" s="1680"/>
      <c r="C67" s="1681"/>
      <c r="D67" s="1680"/>
      <c r="E67" s="3324"/>
      <c r="F67" s="1650" t="s">
        <v>2181</v>
      </c>
      <c r="G67" s="880">
        <v>486810</v>
      </c>
      <c r="H67" s="1640" t="s">
        <v>1701</v>
      </c>
      <c r="I67" s="1641">
        <v>1</v>
      </c>
      <c r="J67" s="1640" t="s">
        <v>1701</v>
      </c>
      <c r="K67" s="1642">
        <v>1</v>
      </c>
      <c r="L67" s="1667"/>
      <c r="M67" s="1644"/>
      <c r="N67" s="1672"/>
      <c r="O67" s="1644" t="s">
        <v>2165</v>
      </c>
      <c r="P67" s="1645">
        <f t="shared" si="9"/>
        <v>487000</v>
      </c>
      <c r="Q67" s="1655"/>
      <c r="R67" s="1655"/>
      <c r="S67" s="1656"/>
      <c r="T67" s="1657"/>
    </row>
    <row r="68" spans="1:20" s="1684" customFormat="1" ht="15" customHeight="1">
      <c r="A68" s="1679"/>
      <c r="B68" s="1680"/>
      <c r="C68" s="1681"/>
      <c r="D68" s="1680"/>
      <c r="E68" s="3324"/>
      <c r="F68" s="1650" t="s">
        <v>2181</v>
      </c>
      <c r="G68" s="880">
        <v>602720</v>
      </c>
      <c r="H68" s="1640" t="s">
        <v>1701</v>
      </c>
      <c r="I68" s="1641">
        <v>1</v>
      </c>
      <c r="J68" s="1640" t="s">
        <v>1701</v>
      </c>
      <c r="K68" s="1642">
        <v>1</v>
      </c>
      <c r="L68" s="1667"/>
      <c r="M68" s="1644"/>
      <c r="N68" s="1672"/>
      <c r="O68" s="1644" t="s">
        <v>2165</v>
      </c>
      <c r="P68" s="1645">
        <f t="shared" si="9"/>
        <v>603000</v>
      </c>
      <c r="Q68" s="1655"/>
      <c r="R68" s="1655"/>
      <c r="S68" s="1656"/>
      <c r="T68" s="1657"/>
    </row>
    <row r="69" spans="1:20" s="1684" customFormat="1" ht="15" customHeight="1">
      <c r="A69" s="1679"/>
      <c r="B69" s="1680"/>
      <c r="C69" s="1681"/>
      <c r="D69" s="1680"/>
      <c r="E69" s="3324"/>
      <c r="F69" s="1650" t="s">
        <v>2182</v>
      </c>
      <c r="G69" s="880">
        <v>272770</v>
      </c>
      <c r="H69" s="1640" t="s">
        <v>1701</v>
      </c>
      <c r="I69" s="1641">
        <v>1</v>
      </c>
      <c r="J69" s="1640" t="s">
        <v>1701</v>
      </c>
      <c r="K69" s="1642">
        <v>1</v>
      </c>
      <c r="L69" s="1667"/>
      <c r="M69" s="1644"/>
      <c r="N69" s="1672"/>
      <c r="O69" s="1644" t="s">
        <v>2165</v>
      </c>
      <c r="P69" s="1645">
        <f t="shared" si="9"/>
        <v>273000</v>
      </c>
      <c r="Q69" s="1655"/>
      <c r="R69" s="1655"/>
      <c r="S69" s="1656"/>
      <c r="T69" s="1657"/>
    </row>
    <row r="70" spans="1:20" s="1684" customFormat="1" ht="15" customHeight="1">
      <c r="A70" s="1679"/>
      <c r="B70" s="1680"/>
      <c r="C70" s="1681"/>
      <c r="D70" s="1680"/>
      <c r="E70" s="3324"/>
      <c r="F70" s="1650" t="s">
        <v>2183</v>
      </c>
      <c r="G70" s="880">
        <v>377090</v>
      </c>
      <c r="H70" s="1640" t="s">
        <v>1701</v>
      </c>
      <c r="I70" s="1641">
        <v>1</v>
      </c>
      <c r="J70" s="1640" t="s">
        <v>1701</v>
      </c>
      <c r="K70" s="1642">
        <v>1</v>
      </c>
      <c r="L70" s="1667"/>
      <c r="M70" s="1644"/>
      <c r="N70" s="1672"/>
      <c r="O70" s="1644" t="s">
        <v>2165</v>
      </c>
      <c r="P70" s="1645">
        <f t="shared" si="9"/>
        <v>378000</v>
      </c>
      <c r="Q70" s="1655"/>
      <c r="R70" s="1655"/>
      <c r="S70" s="1656"/>
      <c r="T70" s="1657"/>
    </row>
    <row r="71" spans="1:20" s="1684" customFormat="1" ht="15" customHeight="1">
      <c r="A71" s="1679"/>
      <c r="B71" s="1680"/>
      <c r="C71" s="1681"/>
      <c r="D71" s="1680"/>
      <c r="E71" s="3637" t="s">
        <v>432</v>
      </c>
      <c r="F71" s="3638"/>
      <c r="G71" s="3638"/>
      <c r="H71" s="3638"/>
      <c r="I71" s="3638"/>
      <c r="J71" s="3638"/>
      <c r="K71" s="3638"/>
      <c r="L71" s="3638"/>
      <c r="M71" s="3638"/>
      <c r="N71" s="3638"/>
      <c r="O71" s="3638"/>
      <c r="P71" s="3639"/>
      <c r="Q71" s="1691">
        <f>P72+P76</f>
        <v>35383000</v>
      </c>
      <c r="R71" s="1691">
        <v>0</v>
      </c>
      <c r="S71" s="1692">
        <f>Q71-R71</f>
        <v>35383000</v>
      </c>
      <c r="T71" s="3272"/>
    </row>
    <row r="72" spans="1:20" s="1684" customFormat="1" ht="15" customHeight="1">
      <c r="A72" s="1679"/>
      <c r="B72" s="1680"/>
      <c r="C72" s="1681"/>
      <c r="D72" s="1680"/>
      <c r="E72" s="3324"/>
      <c r="F72" s="1631" t="s">
        <v>2160</v>
      </c>
      <c r="G72" s="1212"/>
      <c r="H72" s="1632"/>
      <c r="I72" s="1685"/>
      <c r="J72" s="1632"/>
      <c r="K72" s="1686"/>
      <c r="L72" s="1631"/>
      <c r="M72" s="1633"/>
      <c r="N72" s="1687"/>
      <c r="O72" s="1633"/>
      <c r="P72" s="1634">
        <f>SUM(P73:P75)</f>
        <v>27840000</v>
      </c>
      <c r="Q72" s="1635">
        <f>P72</f>
        <v>27840000</v>
      </c>
      <c r="R72" s="1688">
        <v>0</v>
      </c>
      <c r="S72" s="1636">
        <f>Q72-R72</f>
        <v>27840000</v>
      </c>
      <c r="T72" s="1637"/>
    </row>
    <row r="73" spans="1:20" s="1684" customFormat="1" ht="15" customHeight="1">
      <c r="A73" s="1679"/>
      <c r="B73" s="1680"/>
      <c r="C73" s="1681"/>
      <c r="D73" s="1680"/>
      <c r="E73" s="3324"/>
      <c r="F73" s="1650" t="s">
        <v>2161</v>
      </c>
      <c r="G73" s="880">
        <v>510000</v>
      </c>
      <c r="H73" s="1640" t="s">
        <v>2162</v>
      </c>
      <c r="I73" s="1641">
        <v>4</v>
      </c>
      <c r="J73" s="1640" t="s">
        <v>2162</v>
      </c>
      <c r="K73" s="1642">
        <v>12</v>
      </c>
      <c r="L73" s="1667"/>
      <c r="M73" s="1644"/>
      <c r="N73" s="1672"/>
      <c r="O73" s="1644" t="s">
        <v>2163</v>
      </c>
      <c r="P73" s="1645">
        <f>ROUNDUP(G73*I73*K73,-3)</f>
        <v>24480000</v>
      </c>
      <c r="Q73" s="1655"/>
      <c r="R73" s="1655"/>
      <c r="S73" s="1656"/>
      <c r="T73" s="1657"/>
    </row>
    <row r="74" spans="1:20" s="1684" customFormat="1" ht="15" customHeight="1">
      <c r="A74" s="1679"/>
      <c r="B74" s="1680"/>
      <c r="C74" s="1681"/>
      <c r="D74" s="1680"/>
      <c r="E74" s="3324"/>
      <c r="F74" s="1650" t="s">
        <v>2164</v>
      </c>
      <c r="G74" s="880">
        <v>50000</v>
      </c>
      <c r="H74" s="1640" t="s">
        <v>2162</v>
      </c>
      <c r="I74" s="1641">
        <v>4</v>
      </c>
      <c r="J74" s="1640" t="s">
        <v>2162</v>
      </c>
      <c r="K74" s="1642">
        <v>12</v>
      </c>
      <c r="L74" s="1667"/>
      <c r="M74" s="1644"/>
      <c r="N74" s="1672"/>
      <c r="O74" s="1644" t="s">
        <v>2165</v>
      </c>
      <c r="P74" s="1645">
        <f>ROUNDUP(G74*I74*K74,-3)</f>
        <v>2400000</v>
      </c>
      <c r="Q74" s="1655"/>
      <c r="R74" s="1655"/>
      <c r="S74" s="1656"/>
      <c r="T74" s="1657"/>
    </row>
    <row r="75" spans="1:20" s="1684" customFormat="1" ht="15" customHeight="1">
      <c r="A75" s="3071"/>
      <c r="B75" s="3072"/>
      <c r="C75" s="1696"/>
      <c r="D75" s="3072"/>
      <c r="E75" s="3325"/>
      <c r="F75" s="1673" t="s">
        <v>2166</v>
      </c>
      <c r="G75" s="893">
        <v>40000</v>
      </c>
      <c r="H75" s="1674" t="s">
        <v>2162</v>
      </c>
      <c r="I75" s="3073">
        <v>2</v>
      </c>
      <c r="J75" s="1674" t="s">
        <v>2167</v>
      </c>
      <c r="K75" s="1715">
        <v>12</v>
      </c>
      <c r="L75" s="1675"/>
      <c r="M75" s="1676"/>
      <c r="N75" s="1677"/>
      <c r="O75" s="1676" t="s">
        <v>2163</v>
      </c>
      <c r="P75" s="1678">
        <f>ROUNDUP(G75*I75*K75,-3)</f>
        <v>960000</v>
      </c>
      <c r="Q75" s="1719"/>
      <c r="R75" s="1719"/>
      <c r="S75" s="1701"/>
      <c r="T75" s="1702"/>
    </row>
    <row r="76" spans="1:20" s="1684" customFormat="1" ht="15" customHeight="1">
      <c r="A76" s="1679"/>
      <c r="B76" s="1680"/>
      <c r="C76" s="1681"/>
      <c r="D76" s="1680"/>
      <c r="E76" s="3324"/>
      <c r="F76" s="1631" t="s">
        <v>2168</v>
      </c>
      <c r="G76" s="1212"/>
      <c r="H76" s="1632"/>
      <c r="I76" s="1685"/>
      <c r="J76" s="1632"/>
      <c r="K76" s="1686"/>
      <c r="L76" s="1631"/>
      <c r="M76" s="1633"/>
      <c r="N76" s="1687"/>
      <c r="O76" s="1633"/>
      <c r="P76" s="1634">
        <f>SUM(P77:P81)</f>
        <v>7543000</v>
      </c>
      <c r="Q76" s="1635">
        <f>P76</f>
        <v>7543000</v>
      </c>
      <c r="R76" s="1688">
        <v>0</v>
      </c>
      <c r="S76" s="1636">
        <f>Q76-R76</f>
        <v>7543000</v>
      </c>
      <c r="T76" s="1637"/>
    </row>
    <row r="77" spans="1:20" s="1684" customFormat="1" ht="15" customHeight="1">
      <c r="A77" s="1679"/>
      <c r="B77" s="1680"/>
      <c r="C77" s="1681"/>
      <c r="D77" s="1680"/>
      <c r="E77" s="3324"/>
      <c r="F77" s="1650" t="s">
        <v>2169</v>
      </c>
      <c r="G77" s="880">
        <v>150000</v>
      </c>
      <c r="H77" s="1640" t="s">
        <v>2162</v>
      </c>
      <c r="I77" s="1641">
        <v>2</v>
      </c>
      <c r="J77" s="1640" t="s">
        <v>454</v>
      </c>
      <c r="K77" s="1642">
        <v>12</v>
      </c>
      <c r="L77" s="1667"/>
      <c r="M77" s="1644"/>
      <c r="N77" s="1672"/>
      <c r="O77" s="1644" t="s">
        <v>2163</v>
      </c>
      <c r="P77" s="1645">
        <f>ROUNDUP(G77*I77*K77,-3)</f>
        <v>3600000</v>
      </c>
      <c r="Q77" s="1655"/>
      <c r="R77" s="1655"/>
      <c r="S77" s="1656"/>
      <c r="T77" s="1657"/>
    </row>
    <row r="78" spans="1:20" s="1684" customFormat="1" ht="15" customHeight="1">
      <c r="A78" s="1679"/>
      <c r="B78" s="1680"/>
      <c r="C78" s="1681"/>
      <c r="D78" s="1680"/>
      <c r="E78" s="3324"/>
      <c r="F78" s="1650" t="s">
        <v>2170</v>
      </c>
      <c r="G78" s="880">
        <v>50000</v>
      </c>
      <c r="H78" s="1640" t="s">
        <v>2167</v>
      </c>
      <c r="I78" s="1641">
        <v>2</v>
      </c>
      <c r="J78" s="1640" t="s">
        <v>2162</v>
      </c>
      <c r="K78" s="1642">
        <v>12</v>
      </c>
      <c r="L78" s="1667"/>
      <c r="M78" s="1644"/>
      <c r="N78" s="1672"/>
      <c r="O78" s="1644" t="s">
        <v>2163</v>
      </c>
      <c r="P78" s="1645">
        <f>ROUNDUP(G78*I78*K78,-3)</f>
        <v>1200000</v>
      </c>
      <c r="Q78" s="1655"/>
      <c r="R78" s="1655"/>
      <c r="S78" s="1656"/>
      <c r="T78" s="1657"/>
    </row>
    <row r="79" spans="1:20" s="1684" customFormat="1" ht="15" customHeight="1">
      <c r="A79" s="1679"/>
      <c r="B79" s="1680"/>
      <c r="C79" s="1681"/>
      <c r="D79" s="1680"/>
      <c r="E79" s="3324"/>
      <c r="F79" s="1650" t="s">
        <v>2171</v>
      </c>
      <c r="G79" s="880">
        <v>100000</v>
      </c>
      <c r="H79" s="1640" t="s">
        <v>1701</v>
      </c>
      <c r="I79" s="1641">
        <v>2</v>
      </c>
      <c r="J79" s="1640" t="s">
        <v>454</v>
      </c>
      <c r="K79" s="1642">
        <v>12</v>
      </c>
      <c r="L79" s="1667"/>
      <c r="M79" s="1644"/>
      <c r="N79" s="1672"/>
      <c r="O79" s="1644" t="s">
        <v>1036</v>
      </c>
      <c r="P79" s="1645">
        <f>ROUNDUP(G79*I79*K79,-3)</f>
        <v>2400000</v>
      </c>
      <c r="Q79" s="1655"/>
      <c r="R79" s="1655"/>
      <c r="S79" s="1656"/>
      <c r="T79" s="1657"/>
    </row>
    <row r="80" spans="1:20" s="1684" customFormat="1" ht="15" customHeight="1">
      <c r="A80" s="1679"/>
      <c r="B80" s="1680"/>
      <c r="C80" s="1681"/>
      <c r="D80" s="1680"/>
      <c r="E80" s="3324"/>
      <c r="F80" s="1650" t="s">
        <v>2172</v>
      </c>
      <c r="G80" s="880">
        <v>85000</v>
      </c>
      <c r="H80" s="1640" t="s">
        <v>2167</v>
      </c>
      <c r="I80" s="1641">
        <v>2</v>
      </c>
      <c r="J80" s="1640" t="s">
        <v>2167</v>
      </c>
      <c r="K80" s="1642">
        <v>1</v>
      </c>
      <c r="L80" s="1667"/>
      <c r="M80" s="1644"/>
      <c r="N80" s="1672"/>
      <c r="O80" s="1644" t="s">
        <v>2165</v>
      </c>
      <c r="P80" s="1645">
        <f>ROUNDUP(G80*I80*K80,-3)</f>
        <v>170000</v>
      </c>
      <c r="Q80" s="1655"/>
      <c r="R80" s="1655"/>
      <c r="S80" s="1656"/>
      <c r="T80" s="1657"/>
    </row>
    <row r="81" spans="1:24" s="1684" customFormat="1" ht="15" customHeight="1">
      <c r="A81" s="1679"/>
      <c r="B81" s="1680"/>
      <c r="C81" s="1681"/>
      <c r="D81" s="1680"/>
      <c r="E81" s="3324"/>
      <c r="F81" s="1650" t="s">
        <v>2173</v>
      </c>
      <c r="G81" s="880">
        <v>86250</v>
      </c>
      <c r="H81" s="1640" t="s">
        <v>2162</v>
      </c>
      <c r="I81" s="1641">
        <v>2</v>
      </c>
      <c r="J81" s="1640" t="s">
        <v>454</v>
      </c>
      <c r="K81" s="1642">
        <v>1</v>
      </c>
      <c r="L81" s="1667"/>
      <c r="M81" s="1644"/>
      <c r="N81" s="1672"/>
      <c r="O81" s="1644" t="s">
        <v>2163</v>
      </c>
      <c r="P81" s="1645">
        <f>ROUNDUP(G81*I81*K81,-3)</f>
        <v>173000</v>
      </c>
      <c r="Q81" s="1655"/>
      <c r="R81" s="1655"/>
      <c r="S81" s="1656"/>
      <c r="T81" s="1657"/>
    </row>
    <row r="82" spans="1:24" ht="15" customHeight="1">
      <c r="A82" s="1603"/>
      <c r="B82" s="1618"/>
      <c r="C82" s="1619"/>
      <c r="D82" s="1618"/>
      <c r="E82" s="3637" t="s">
        <v>185</v>
      </c>
      <c r="F82" s="3638"/>
      <c r="G82" s="3638"/>
      <c r="H82" s="3638"/>
      <c r="I82" s="3638"/>
      <c r="J82" s="3638"/>
      <c r="K82" s="3638"/>
      <c r="L82" s="3638"/>
      <c r="M82" s="3638"/>
      <c r="N82" s="3638"/>
      <c r="O82" s="3638"/>
      <c r="P82" s="3639"/>
      <c r="Q82" s="1628">
        <f>P83</f>
        <v>24912000</v>
      </c>
      <c r="R82" s="1628">
        <v>17286000</v>
      </c>
      <c r="S82" s="1629">
        <f>Q82-R82</f>
        <v>7626000</v>
      </c>
      <c r="T82" s="1630">
        <f>S82/R82</f>
        <v>0.44116626171468243</v>
      </c>
    </row>
    <row r="83" spans="1:24" ht="15" customHeight="1">
      <c r="A83" s="1603"/>
      <c r="B83" s="1618"/>
      <c r="C83" s="1619"/>
      <c r="D83" s="1618"/>
      <c r="E83" s="3324"/>
      <c r="F83" s="1631" t="s">
        <v>52</v>
      </c>
      <c r="G83" s="686"/>
      <c r="H83" s="1632"/>
      <c r="I83" s="1632"/>
      <c r="J83" s="1632"/>
      <c r="K83" s="1632"/>
      <c r="L83" s="1631"/>
      <c r="M83" s="1633"/>
      <c r="N83" s="1632"/>
      <c r="O83" s="1633"/>
      <c r="P83" s="1634">
        <f>SUM(P84:P84)</f>
        <v>24912000</v>
      </c>
      <c r="Q83" s="1635">
        <f>P83</f>
        <v>24912000</v>
      </c>
      <c r="R83" s="1635">
        <v>17286000</v>
      </c>
      <c r="S83" s="1636">
        <f>Q83-R83</f>
        <v>7626000</v>
      </c>
      <c r="T83" s="1637">
        <f>S83/R83</f>
        <v>0.44116626171468243</v>
      </c>
    </row>
    <row r="84" spans="1:24" ht="15" customHeight="1">
      <c r="A84" s="1603"/>
      <c r="B84" s="1618"/>
      <c r="C84" s="1619"/>
      <c r="D84" s="1618"/>
      <c r="E84" s="3326"/>
      <c r="F84" s="1638" t="s">
        <v>53</v>
      </c>
      <c r="G84" s="880">
        <v>298948000</v>
      </c>
      <c r="H84" s="1640" t="s">
        <v>21</v>
      </c>
      <c r="I84" s="3797">
        <v>12</v>
      </c>
      <c r="J84" s="3797"/>
      <c r="K84" s="1671"/>
      <c r="L84" s="1643"/>
      <c r="M84" s="1644"/>
      <c r="N84" s="1640"/>
      <c r="O84" s="1644" t="s">
        <v>22</v>
      </c>
      <c r="P84" s="1700">
        <f>ROUNDDOWN((G84/12),-3)</f>
        <v>24912000</v>
      </c>
      <c r="Q84" s="1655"/>
      <c r="R84" s="1655"/>
      <c r="S84" s="1701"/>
      <c r="T84" s="1702"/>
    </row>
    <row r="85" spans="1:24" ht="15" customHeight="1" thickBot="1">
      <c r="A85" s="1603"/>
      <c r="B85" s="1618"/>
      <c r="C85" s="1619"/>
      <c r="D85" s="1703" t="s">
        <v>464</v>
      </c>
      <c r="E85" s="3327"/>
      <c r="F85" s="1704"/>
      <c r="G85" s="1705"/>
      <c r="H85" s="1703"/>
      <c r="I85" s="1703"/>
      <c r="J85" s="1703"/>
      <c r="K85" s="1703"/>
      <c r="L85" s="1706"/>
      <c r="M85" s="1703"/>
      <c r="N85" s="1707"/>
      <c r="O85" s="1707"/>
      <c r="P85" s="1703"/>
      <c r="Q85" s="1708">
        <f>ROUNDUP(Q86+Q93+Q96+Q101+Q105+Q106+Q109+Q114+Q117+Q120+Q124+Q127,-3)</f>
        <v>53181000</v>
      </c>
      <c r="R85" s="1708">
        <f>ROUNDUP(R86+R93+R96+R101+R105+R106+R109+R114+R117+R120+R124+R127,-3)</f>
        <v>52351000</v>
      </c>
      <c r="S85" s="1626">
        <f>Q85-R85</f>
        <v>830000</v>
      </c>
      <c r="T85" s="1627">
        <f>S85/R85</f>
        <v>1.5854520448511013E-2</v>
      </c>
    </row>
    <row r="86" spans="1:24" ht="15" customHeight="1">
      <c r="A86" s="1603"/>
      <c r="B86" s="1618"/>
      <c r="C86" s="1619"/>
      <c r="D86" s="1618"/>
      <c r="E86" s="3637" t="s">
        <v>55</v>
      </c>
      <c r="F86" s="3638"/>
      <c r="G86" s="3638"/>
      <c r="H86" s="3638"/>
      <c r="I86" s="3638"/>
      <c r="J86" s="3638"/>
      <c r="K86" s="3638"/>
      <c r="L86" s="3638"/>
      <c r="M86" s="3638"/>
      <c r="N86" s="3638"/>
      <c r="O86" s="3638"/>
      <c r="P86" s="3639"/>
      <c r="Q86" s="1628">
        <f>ROUNDUP(SUM(P87),-3)</f>
        <v>27990000</v>
      </c>
      <c r="R86" s="1628">
        <v>19221000</v>
      </c>
      <c r="S86" s="1629">
        <f>Q86-R86</f>
        <v>8769000</v>
      </c>
      <c r="T86" s="1630">
        <f>S86/R86</f>
        <v>0.45621975963789607</v>
      </c>
    </row>
    <row r="87" spans="1:24" ht="15" customHeight="1">
      <c r="A87" s="1603"/>
      <c r="B87" s="1618"/>
      <c r="C87" s="1619"/>
      <c r="D87" s="1618"/>
      <c r="F87" s="1631" t="s">
        <v>56</v>
      </c>
      <c r="G87" s="686"/>
      <c r="H87" s="1632"/>
      <c r="I87" s="1632"/>
      <c r="J87" s="1632"/>
      <c r="K87" s="1632"/>
      <c r="L87" s="1631"/>
      <c r="M87" s="1633"/>
      <c r="N87" s="1632"/>
      <c r="O87" s="1633"/>
      <c r="P87" s="1634">
        <f>SUM(P88:P92)</f>
        <v>27990000</v>
      </c>
      <c r="Q87" s="1635">
        <f>P87</f>
        <v>27990000</v>
      </c>
      <c r="R87" s="1635">
        <v>19221000</v>
      </c>
      <c r="S87" s="1636">
        <f>Q87-R87</f>
        <v>8769000</v>
      </c>
      <c r="T87" s="1637">
        <f>S87/R87</f>
        <v>0.45621975963789607</v>
      </c>
    </row>
    <row r="88" spans="1:24" ht="15" customHeight="1">
      <c r="A88" s="1603"/>
      <c r="B88" s="1618"/>
      <c r="C88" s="1619"/>
      <c r="D88" s="1618"/>
      <c r="E88" s="3321"/>
      <c r="F88" s="1709" t="s">
        <v>57</v>
      </c>
      <c r="G88" s="880">
        <v>298948000</v>
      </c>
      <c r="H88" s="1640" t="s">
        <v>21</v>
      </c>
      <c r="I88" s="1710">
        <v>4.4999999999999998E-2</v>
      </c>
      <c r="J88" s="1710"/>
      <c r="K88" s="1671"/>
      <c r="L88" s="1643"/>
      <c r="M88" s="1671"/>
      <c r="N88" s="1644"/>
      <c r="O88" s="1644" t="s">
        <v>22</v>
      </c>
      <c r="P88" s="1700">
        <f>ROUNDUP(G88*I88,-3)</f>
        <v>13453000</v>
      </c>
      <c r="Q88" s="1655"/>
      <c r="R88" s="1655"/>
      <c r="S88" s="1656"/>
      <c r="T88" s="1657"/>
    </row>
    <row r="89" spans="1:24" ht="15" customHeight="1">
      <c r="A89" s="1603"/>
      <c r="B89" s="1618"/>
      <c r="C89" s="1619"/>
      <c r="D89" s="1618"/>
      <c r="E89" s="3322"/>
      <c r="F89" s="1711" t="s">
        <v>58</v>
      </c>
      <c r="G89" s="880">
        <v>298848000</v>
      </c>
      <c r="H89" s="1640" t="s">
        <v>21</v>
      </c>
      <c r="I89" s="1710">
        <v>3.0599999999999999E-2</v>
      </c>
      <c r="J89" s="1710"/>
      <c r="K89" s="1671"/>
      <c r="L89" s="1643"/>
      <c r="M89" s="1671"/>
      <c r="N89" s="1644"/>
      <c r="O89" s="1644" t="s">
        <v>22</v>
      </c>
      <c r="P89" s="1700">
        <f>ROUNDUP(G89*I89,-3)</f>
        <v>9145000</v>
      </c>
      <c r="Q89" s="1655"/>
      <c r="R89" s="1655"/>
      <c r="S89" s="1656"/>
      <c r="T89" s="1657"/>
    </row>
    <row r="90" spans="1:24" ht="15" customHeight="1">
      <c r="A90" s="1603"/>
      <c r="B90" s="1618"/>
      <c r="C90" s="1619"/>
      <c r="D90" s="1618"/>
      <c r="E90" s="3322"/>
      <c r="F90" s="1711" t="s">
        <v>59</v>
      </c>
      <c r="G90" s="880">
        <v>9145000</v>
      </c>
      <c r="H90" s="1640" t="s">
        <v>21</v>
      </c>
      <c r="I90" s="1710">
        <v>6.5500000000000003E-2</v>
      </c>
      <c r="J90" s="1710"/>
      <c r="K90" s="1671"/>
      <c r="L90" s="1643"/>
      <c r="M90" s="1671"/>
      <c r="N90" s="1644"/>
      <c r="O90" s="1644" t="s">
        <v>22</v>
      </c>
      <c r="P90" s="1700">
        <f>ROUNDUP(G90*I90,-3)</f>
        <v>599000</v>
      </c>
      <c r="Q90" s="1655"/>
      <c r="R90" s="1655"/>
      <c r="S90" s="1656"/>
      <c r="T90" s="1657"/>
    </row>
    <row r="91" spans="1:24" ht="15" customHeight="1">
      <c r="A91" s="1603"/>
      <c r="B91" s="1618"/>
      <c r="C91" s="1619"/>
      <c r="D91" s="1618"/>
      <c r="E91" s="3322"/>
      <c r="F91" s="1711" t="s">
        <v>60</v>
      </c>
      <c r="G91" s="880">
        <v>298948000</v>
      </c>
      <c r="H91" s="1640" t="s">
        <v>21</v>
      </c>
      <c r="I91" s="1710">
        <v>8.9999999999999993E-3</v>
      </c>
      <c r="J91" s="1710"/>
      <c r="K91" s="1671"/>
      <c r="L91" s="1643" t="s">
        <v>1955</v>
      </c>
      <c r="M91" s="1671"/>
      <c r="N91" s="1644"/>
      <c r="O91" s="1644" t="s">
        <v>22</v>
      </c>
      <c r="P91" s="1700">
        <f>ROUNDUP(G91*I91,-3)</f>
        <v>2691000</v>
      </c>
      <c r="Q91" s="1655"/>
      <c r="R91" s="1655"/>
      <c r="S91" s="1656"/>
      <c r="T91" s="1657"/>
    </row>
    <row r="92" spans="1:24" ht="15" customHeight="1">
      <c r="A92" s="1603"/>
      <c r="B92" s="1618"/>
      <c r="C92" s="1619"/>
      <c r="D92" s="1618"/>
      <c r="E92" s="3322"/>
      <c r="F92" s="1711" t="s">
        <v>61</v>
      </c>
      <c r="G92" s="880">
        <v>298948000</v>
      </c>
      <c r="H92" s="1640" t="s">
        <v>21</v>
      </c>
      <c r="I92" s="1710">
        <v>7.0299999999999998E-3</v>
      </c>
      <c r="J92" s="1710"/>
      <c r="K92" s="1671"/>
      <c r="L92" s="1643"/>
      <c r="M92" s="1671"/>
      <c r="N92" s="1644"/>
      <c r="O92" s="1644" t="s">
        <v>22</v>
      </c>
      <c r="P92" s="1700">
        <f>ROUNDUP(G92*I92,-3)</f>
        <v>2102000</v>
      </c>
      <c r="Q92" s="1655"/>
      <c r="R92" s="1655"/>
      <c r="S92" s="1656"/>
      <c r="T92" s="1657"/>
    </row>
    <row r="93" spans="1:24" ht="15" customHeight="1">
      <c r="A93" s="1603"/>
      <c r="B93" s="1618"/>
      <c r="C93" s="1619"/>
      <c r="D93" s="1618"/>
      <c r="E93" s="3637" t="s">
        <v>213</v>
      </c>
      <c r="F93" s="3638"/>
      <c r="G93" s="3638"/>
      <c r="H93" s="3638"/>
      <c r="I93" s="3638"/>
      <c r="J93" s="3638"/>
      <c r="K93" s="3638"/>
      <c r="L93" s="3638"/>
      <c r="M93" s="3638"/>
      <c r="N93" s="3638"/>
      <c r="O93" s="3638"/>
      <c r="P93" s="3639"/>
      <c r="Q93" s="1628">
        <f>ROUNDUP(SUM(P94),-3)</f>
        <v>6300000</v>
      </c>
      <c r="R93" s="1628">
        <v>3300000</v>
      </c>
      <c r="S93" s="1629">
        <f>Q93-R93</f>
        <v>3000000</v>
      </c>
      <c r="T93" s="1630">
        <f>S93/R93</f>
        <v>0.90909090909090906</v>
      </c>
    </row>
    <row r="94" spans="1:24" ht="15" customHeight="1">
      <c r="A94" s="1603"/>
      <c r="B94" s="1618"/>
      <c r="C94" s="1619"/>
      <c r="D94" s="1618"/>
      <c r="F94" s="1631" t="s">
        <v>66</v>
      </c>
      <c r="G94" s="686"/>
      <c r="H94" s="1632"/>
      <c r="I94" s="1632"/>
      <c r="J94" s="1632"/>
      <c r="K94" s="1632"/>
      <c r="L94" s="1631"/>
      <c r="M94" s="1633"/>
      <c r="N94" s="1632"/>
      <c r="O94" s="1633"/>
      <c r="P94" s="1634">
        <f>SUM(P95:P95)</f>
        <v>6300000</v>
      </c>
      <c r="Q94" s="1635">
        <f>P94</f>
        <v>6300000</v>
      </c>
      <c r="R94" s="1635">
        <v>3300000</v>
      </c>
      <c r="S94" s="1636">
        <f>Q94-R94</f>
        <v>3000000</v>
      </c>
      <c r="T94" s="1637">
        <f>S94/R94</f>
        <v>0.90909090909090906</v>
      </c>
    </row>
    <row r="95" spans="1:24" ht="15" customHeight="1">
      <c r="A95" s="1603"/>
      <c r="B95" s="1618"/>
      <c r="C95" s="1619"/>
      <c r="D95" s="1618"/>
      <c r="E95" s="3321"/>
      <c r="F95" s="1709" t="s">
        <v>67</v>
      </c>
      <c r="G95" s="880">
        <v>105000</v>
      </c>
      <c r="H95" s="1640" t="s">
        <v>21</v>
      </c>
      <c r="I95" s="1641">
        <v>5</v>
      </c>
      <c r="J95" s="1640" t="s">
        <v>21</v>
      </c>
      <c r="K95" s="1642">
        <v>12</v>
      </c>
      <c r="L95" s="1643"/>
      <c r="M95" s="1671"/>
      <c r="N95" s="1644"/>
      <c r="O95" s="1644" t="s">
        <v>22</v>
      </c>
      <c r="P95" s="1700">
        <f>G95*I95*K95</f>
        <v>6300000</v>
      </c>
      <c r="Q95" s="1655"/>
      <c r="R95" s="1655"/>
      <c r="S95" s="1656"/>
      <c r="T95" s="1657"/>
      <c r="X95" s="1712"/>
    </row>
    <row r="96" spans="1:24" ht="15" customHeight="1">
      <c r="A96" s="1603"/>
      <c r="B96" s="1618"/>
      <c r="C96" s="1619"/>
      <c r="D96" s="1618"/>
      <c r="E96" s="3637" t="s">
        <v>188</v>
      </c>
      <c r="F96" s="3638"/>
      <c r="G96" s="3638"/>
      <c r="H96" s="3638"/>
      <c r="I96" s="3638"/>
      <c r="J96" s="3638"/>
      <c r="K96" s="3638"/>
      <c r="L96" s="3638"/>
      <c r="M96" s="3638"/>
      <c r="N96" s="3638"/>
      <c r="O96" s="3638"/>
      <c r="P96" s="3639"/>
      <c r="Q96" s="1628">
        <f>SUM(P97,P99)</f>
        <v>4800000</v>
      </c>
      <c r="R96" s="1628">
        <v>6510000</v>
      </c>
      <c r="S96" s="1629">
        <f>Q96-R96</f>
        <v>-1710000</v>
      </c>
      <c r="T96" s="1630">
        <f>S96/R96</f>
        <v>-0.26267281105990781</v>
      </c>
    </row>
    <row r="97" spans="1:20" ht="15" customHeight="1">
      <c r="A97" s="1603"/>
      <c r="B97" s="1618"/>
      <c r="C97" s="1619"/>
      <c r="D97" s="1618"/>
      <c r="F97" s="1631" t="s">
        <v>71</v>
      </c>
      <c r="G97" s="686"/>
      <c r="H97" s="1632"/>
      <c r="I97" s="1632"/>
      <c r="J97" s="1632"/>
      <c r="K97" s="1632"/>
      <c r="L97" s="1631"/>
      <c r="M97" s="1633"/>
      <c r="N97" s="1632"/>
      <c r="O97" s="1633"/>
      <c r="P97" s="1634">
        <f>SUM(P98:P98)</f>
        <v>4020000</v>
      </c>
      <c r="Q97" s="1635">
        <f>P97</f>
        <v>4020000</v>
      </c>
      <c r="R97" s="1635">
        <v>5910000</v>
      </c>
      <c r="S97" s="1636">
        <f>Q97-R97</f>
        <v>-1890000</v>
      </c>
      <c r="T97" s="1637">
        <f>S97/R97</f>
        <v>-0.31979695431472083</v>
      </c>
    </row>
    <row r="98" spans="1:20" ht="15" customHeight="1">
      <c r="A98" s="1603"/>
      <c r="B98" s="1618"/>
      <c r="C98" s="1619"/>
      <c r="D98" s="1618"/>
      <c r="E98" s="3321"/>
      <c r="F98" s="1709" t="s">
        <v>1956</v>
      </c>
      <c r="G98" s="1568">
        <v>335000</v>
      </c>
      <c r="H98" s="1659" t="s">
        <v>21</v>
      </c>
      <c r="I98" s="1642">
        <v>12</v>
      </c>
      <c r="J98" s="1659"/>
      <c r="K98" s="1713"/>
      <c r="L98" s="1662"/>
      <c r="M98" s="1713"/>
      <c r="N98" s="1663"/>
      <c r="O98" s="1663" t="s">
        <v>22</v>
      </c>
      <c r="P98" s="1645">
        <f>G98*I98</f>
        <v>4020000</v>
      </c>
      <c r="Q98" s="1655"/>
      <c r="R98" s="1655"/>
      <c r="S98" s="1656"/>
      <c r="T98" s="1657"/>
    </row>
    <row r="99" spans="1:20" ht="15" customHeight="1">
      <c r="A99" s="1603"/>
      <c r="B99" s="1618"/>
      <c r="C99" s="1619"/>
      <c r="D99" s="1618"/>
      <c r="F99" s="1631" t="s">
        <v>69</v>
      </c>
      <c r="G99" s="686"/>
      <c r="H99" s="1632"/>
      <c r="I99" s="1632"/>
      <c r="J99" s="1632"/>
      <c r="K99" s="1632"/>
      <c r="L99" s="1631"/>
      <c r="M99" s="1633"/>
      <c r="N99" s="1632"/>
      <c r="O99" s="1633"/>
      <c r="P99" s="1634">
        <f>SUM(P100:P100)</f>
        <v>780000</v>
      </c>
      <c r="Q99" s="1635">
        <f>P99</f>
        <v>780000</v>
      </c>
      <c r="R99" s="1635">
        <v>600000</v>
      </c>
      <c r="S99" s="1636">
        <f>Q99-R99</f>
        <v>180000</v>
      </c>
      <c r="T99" s="1637">
        <f>S99/R99</f>
        <v>0.3</v>
      </c>
    </row>
    <row r="100" spans="1:20" ht="15" customHeight="1">
      <c r="A100" s="1603"/>
      <c r="B100" s="1618"/>
      <c r="C100" s="1619"/>
      <c r="D100" s="1618"/>
      <c r="E100" s="3328"/>
      <c r="F100" s="1714" t="s">
        <v>70</v>
      </c>
      <c r="G100" s="893">
        <v>65000</v>
      </c>
      <c r="H100" s="1674" t="s">
        <v>21</v>
      </c>
      <c r="I100" s="1715">
        <v>12</v>
      </c>
      <c r="J100" s="1674"/>
      <c r="K100" s="1716"/>
      <c r="L100" s="1717"/>
      <c r="M100" s="1716"/>
      <c r="N100" s="1676"/>
      <c r="O100" s="1676" t="s">
        <v>22</v>
      </c>
      <c r="P100" s="1718">
        <f>ROUNDUP(G100*I100,-3)</f>
        <v>780000</v>
      </c>
      <c r="Q100" s="1719"/>
      <c r="R100" s="1719"/>
      <c r="S100" s="1701"/>
      <c r="T100" s="1702"/>
    </row>
    <row r="101" spans="1:20" ht="15" customHeight="1">
      <c r="A101" s="1603"/>
      <c r="B101" s="1618"/>
      <c r="C101" s="1619"/>
      <c r="D101" s="1618"/>
      <c r="E101" s="3637" t="s">
        <v>76</v>
      </c>
      <c r="F101" s="3638"/>
      <c r="G101" s="3638"/>
      <c r="H101" s="3638"/>
      <c r="I101" s="3638"/>
      <c r="J101" s="3638"/>
      <c r="K101" s="3638"/>
      <c r="L101" s="3638"/>
      <c r="M101" s="3638"/>
      <c r="N101" s="3638"/>
      <c r="O101" s="3638"/>
      <c r="P101" s="3639"/>
      <c r="Q101" s="1725">
        <f>P102</f>
        <v>2000000</v>
      </c>
      <c r="R101" s="1725">
        <v>1000000</v>
      </c>
      <c r="S101" s="1726">
        <f>Q101-R101</f>
        <v>1000000</v>
      </c>
      <c r="T101" s="1727">
        <f>S101/R101</f>
        <v>1</v>
      </c>
    </row>
    <row r="102" spans="1:20" ht="15" customHeight="1">
      <c r="A102" s="1603"/>
      <c r="B102" s="1618"/>
      <c r="C102" s="1619"/>
      <c r="D102" s="1618"/>
      <c r="F102" s="1631" t="s">
        <v>77</v>
      </c>
      <c r="G102" s="686"/>
      <c r="H102" s="1632"/>
      <c r="I102" s="1632"/>
      <c r="J102" s="1632"/>
      <c r="K102" s="1632"/>
      <c r="L102" s="1631"/>
      <c r="M102" s="1633"/>
      <c r="N102" s="1632"/>
      <c r="O102" s="1633"/>
      <c r="P102" s="1634">
        <f>SUM(P103:P104)</f>
        <v>2000000</v>
      </c>
      <c r="Q102" s="1635">
        <f>P102</f>
        <v>2000000</v>
      </c>
      <c r="R102" s="1635">
        <v>1000000</v>
      </c>
      <c r="S102" s="1636">
        <f>Q102-R102</f>
        <v>1000000</v>
      </c>
      <c r="T102" s="1637">
        <f>S102/R102</f>
        <v>1</v>
      </c>
    </row>
    <row r="103" spans="1:20" ht="15" customHeight="1">
      <c r="A103" s="1603"/>
      <c r="B103" s="1618"/>
      <c r="C103" s="1619"/>
      <c r="D103" s="1618"/>
      <c r="F103" s="1709" t="s">
        <v>465</v>
      </c>
      <c r="G103" s="880">
        <v>150000</v>
      </c>
      <c r="H103" s="1640" t="s">
        <v>1957</v>
      </c>
      <c r="I103" s="1670">
        <v>10</v>
      </c>
      <c r="J103" s="1640"/>
      <c r="K103" s="1671"/>
      <c r="L103" s="1643"/>
      <c r="M103" s="1671"/>
      <c r="N103" s="1644"/>
      <c r="O103" s="1644" t="s">
        <v>22</v>
      </c>
      <c r="P103" s="1700">
        <f>ROUNDUP(G103*I103,-3)</f>
        <v>1500000</v>
      </c>
      <c r="Q103" s="1655"/>
      <c r="R103" s="1655"/>
      <c r="S103" s="1656"/>
      <c r="T103" s="1657"/>
    </row>
    <row r="104" spans="1:20" ht="15" customHeight="1">
      <c r="A104" s="1603"/>
      <c r="B104" s="1618"/>
      <c r="C104" s="1619"/>
      <c r="D104" s="1618"/>
      <c r="E104" s="3330"/>
      <c r="F104" s="1709" t="s">
        <v>1958</v>
      </c>
      <c r="G104" s="880">
        <v>250000</v>
      </c>
      <c r="H104" s="1640" t="s">
        <v>1701</v>
      </c>
      <c r="I104" s="1670">
        <v>2</v>
      </c>
      <c r="J104" s="1640"/>
      <c r="K104" s="1671"/>
      <c r="L104" s="1643"/>
      <c r="M104" s="1671"/>
      <c r="N104" s="1644"/>
      <c r="O104" s="1644" t="s">
        <v>1802</v>
      </c>
      <c r="P104" s="1700">
        <f>ROUNDUP(G104*I104,-3)</f>
        <v>500000</v>
      </c>
      <c r="Q104" s="1655"/>
      <c r="R104" s="1655"/>
      <c r="S104" s="1656"/>
      <c r="T104" s="1657"/>
    </row>
    <row r="105" spans="1:20" ht="15" customHeight="1">
      <c r="A105" s="1603"/>
      <c r="B105" s="1618"/>
      <c r="C105" s="1619"/>
      <c r="D105" s="1618"/>
      <c r="E105" s="3637" t="s">
        <v>218</v>
      </c>
      <c r="F105" s="3638"/>
      <c r="G105" s="3638"/>
      <c r="H105" s="3638"/>
      <c r="I105" s="3638"/>
      <c r="J105" s="3638"/>
      <c r="K105" s="3638"/>
      <c r="L105" s="3638"/>
      <c r="M105" s="3638"/>
      <c r="N105" s="3638"/>
      <c r="O105" s="3638"/>
      <c r="P105" s="3639"/>
      <c r="Q105" s="1628">
        <v>0</v>
      </c>
      <c r="R105" s="1628">
        <v>2380000</v>
      </c>
      <c r="S105" s="1629">
        <f>Q105-R105</f>
        <v>-2380000</v>
      </c>
      <c r="T105" s="1630">
        <f>S105/R105</f>
        <v>-1</v>
      </c>
    </row>
    <row r="106" spans="1:20" ht="15" customHeight="1">
      <c r="A106" s="1603"/>
      <c r="B106" s="1618"/>
      <c r="C106" s="1619"/>
      <c r="D106" s="1618"/>
      <c r="E106" s="3637" t="s">
        <v>3055</v>
      </c>
      <c r="F106" s="3638"/>
      <c r="G106" s="3638"/>
      <c r="H106" s="3638"/>
      <c r="I106" s="3638"/>
      <c r="J106" s="3638"/>
      <c r="K106" s="3638"/>
      <c r="L106" s="3638"/>
      <c r="M106" s="3638"/>
      <c r="N106" s="3638"/>
      <c r="O106" s="3638"/>
      <c r="P106" s="3639"/>
      <c r="Q106" s="1725">
        <f>P107</f>
        <v>100000</v>
      </c>
      <c r="R106" s="1725">
        <v>100000</v>
      </c>
      <c r="S106" s="1629">
        <f>Q106-R106</f>
        <v>0</v>
      </c>
      <c r="T106" s="1630">
        <f>S106/R106</f>
        <v>0</v>
      </c>
    </row>
    <row r="107" spans="1:20" ht="15" customHeight="1">
      <c r="A107" s="1603"/>
      <c r="B107" s="1618"/>
      <c r="C107" s="1619"/>
      <c r="D107" s="1618"/>
      <c r="F107" s="1631" t="s">
        <v>88</v>
      </c>
      <c r="G107" s="686"/>
      <c r="H107" s="1632"/>
      <c r="I107" s="1632"/>
      <c r="J107" s="1632"/>
      <c r="K107" s="1632"/>
      <c r="L107" s="1631"/>
      <c r="M107" s="1633"/>
      <c r="N107" s="1632"/>
      <c r="O107" s="1633"/>
      <c r="P107" s="1634">
        <f>SUM(P108:P108)</f>
        <v>100000</v>
      </c>
      <c r="Q107" s="1635">
        <f>P107</f>
        <v>100000</v>
      </c>
      <c r="R107" s="1635">
        <v>100000</v>
      </c>
      <c r="S107" s="1636">
        <f>Q107-R107</f>
        <v>0</v>
      </c>
      <c r="T107" s="1637">
        <f>S107/R107</f>
        <v>0</v>
      </c>
    </row>
    <row r="108" spans="1:20" ht="15" customHeight="1">
      <c r="A108" s="1603"/>
      <c r="B108" s="1618"/>
      <c r="C108" s="1619"/>
      <c r="D108" s="1618"/>
      <c r="E108" s="3328"/>
      <c r="F108" s="1714" t="s">
        <v>466</v>
      </c>
      <c r="G108" s="893">
        <v>50000</v>
      </c>
      <c r="H108" s="1674" t="s">
        <v>21</v>
      </c>
      <c r="I108" s="1728">
        <v>2</v>
      </c>
      <c r="J108" s="1674"/>
      <c r="K108" s="1716"/>
      <c r="L108" s="1717"/>
      <c r="M108" s="1716"/>
      <c r="N108" s="1676"/>
      <c r="O108" s="1676" t="s">
        <v>22</v>
      </c>
      <c r="P108" s="1718">
        <f>ROUNDUP(G108*I108,-3)</f>
        <v>100000</v>
      </c>
      <c r="Q108" s="1719"/>
      <c r="R108" s="1719"/>
      <c r="S108" s="1701"/>
      <c r="T108" s="1702"/>
    </row>
    <row r="109" spans="1:20" ht="15" customHeight="1">
      <c r="A109" s="1603"/>
      <c r="B109" s="1618"/>
      <c r="C109" s="1619"/>
      <c r="D109" s="1618"/>
      <c r="E109" s="3637" t="s">
        <v>3070</v>
      </c>
      <c r="F109" s="3638"/>
      <c r="G109" s="3638"/>
      <c r="H109" s="3638"/>
      <c r="I109" s="3638"/>
      <c r="J109" s="3638"/>
      <c r="K109" s="3638"/>
      <c r="L109" s="3638"/>
      <c r="M109" s="3638"/>
      <c r="N109" s="3638"/>
      <c r="O109" s="3638"/>
      <c r="P109" s="3639"/>
      <c r="Q109" s="1725">
        <f>P110</f>
        <v>5685000</v>
      </c>
      <c r="R109" s="1725">
        <v>5685000</v>
      </c>
      <c r="S109" s="1629">
        <f>Q109-R109</f>
        <v>0</v>
      </c>
      <c r="T109" s="1630">
        <f>S109/R109</f>
        <v>0</v>
      </c>
    </row>
    <row r="110" spans="1:20" ht="15" customHeight="1">
      <c r="A110" s="1603"/>
      <c r="B110" s="1618"/>
      <c r="C110" s="1619"/>
      <c r="D110" s="1618"/>
      <c r="F110" s="1631" t="s">
        <v>93</v>
      </c>
      <c r="G110" s="686"/>
      <c r="H110" s="1632"/>
      <c r="I110" s="1632"/>
      <c r="J110" s="1632"/>
      <c r="K110" s="1632"/>
      <c r="L110" s="1631"/>
      <c r="M110" s="1633"/>
      <c r="N110" s="1632"/>
      <c r="O110" s="1633"/>
      <c r="P110" s="1634">
        <f>SUM(P111:P113)</f>
        <v>5685000</v>
      </c>
      <c r="Q110" s="1635">
        <f>P110</f>
        <v>5685000</v>
      </c>
      <c r="R110" s="1635">
        <v>5685000</v>
      </c>
      <c r="S110" s="1636">
        <f>Q110-R110</f>
        <v>0</v>
      </c>
      <c r="T110" s="1637">
        <f>S110/R110</f>
        <v>0</v>
      </c>
    </row>
    <row r="111" spans="1:20" ht="15" customHeight="1">
      <c r="A111" s="1603"/>
      <c r="B111" s="1618"/>
      <c r="C111" s="1619"/>
      <c r="D111" s="1618"/>
      <c r="E111" s="3321"/>
      <c r="F111" s="1709" t="s">
        <v>467</v>
      </c>
      <c r="G111" s="880">
        <v>176000</v>
      </c>
      <c r="H111" s="1640" t="s">
        <v>21</v>
      </c>
      <c r="I111" s="1729">
        <v>1</v>
      </c>
      <c r="J111" s="1640" t="s">
        <v>21</v>
      </c>
      <c r="K111" s="1642">
        <v>12</v>
      </c>
      <c r="L111" s="1643"/>
      <c r="M111" s="1671"/>
      <c r="N111" s="1644"/>
      <c r="O111" s="1644" t="s">
        <v>22</v>
      </c>
      <c r="P111" s="1700">
        <f>ROUNDUP(G111*I111*K111,-3)</f>
        <v>2112000</v>
      </c>
      <c r="Q111" s="1655"/>
      <c r="R111" s="1655"/>
      <c r="S111" s="1656"/>
      <c r="T111" s="1657"/>
    </row>
    <row r="112" spans="1:20" ht="15" customHeight="1">
      <c r="A112" s="1693"/>
      <c r="B112" s="1694"/>
      <c r="C112" s="1695"/>
      <c r="D112" s="1694"/>
      <c r="E112" s="3331"/>
      <c r="F112" s="3074" t="s">
        <v>468</v>
      </c>
      <c r="G112" s="711">
        <v>275000</v>
      </c>
      <c r="H112" s="1674" t="s">
        <v>21</v>
      </c>
      <c r="I112" s="3075">
        <v>1</v>
      </c>
      <c r="J112" s="1674" t="s">
        <v>21</v>
      </c>
      <c r="K112" s="1715">
        <v>12</v>
      </c>
      <c r="L112" s="1717"/>
      <c r="M112" s="1716"/>
      <c r="N112" s="1676"/>
      <c r="O112" s="1676" t="s">
        <v>22</v>
      </c>
      <c r="P112" s="1718">
        <f>ROUNDUP(G112*I112*K112,-3)</f>
        <v>3300000</v>
      </c>
      <c r="Q112" s="1719"/>
      <c r="R112" s="1719"/>
      <c r="S112" s="1701"/>
      <c r="T112" s="1736"/>
    </row>
    <row r="113" spans="1:27" ht="15" customHeight="1">
      <c r="A113" s="1603"/>
      <c r="B113" s="1618"/>
      <c r="C113" s="1619"/>
      <c r="D113" s="1618"/>
      <c r="E113" s="3322"/>
      <c r="F113" s="1711" t="s">
        <v>469</v>
      </c>
      <c r="G113" s="702">
        <v>22700</v>
      </c>
      <c r="H113" s="1640" t="s">
        <v>21</v>
      </c>
      <c r="I113" s="1729">
        <v>1</v>
      </c>
      <c r="J113" s="1640" t="s">
        <v>21</v>
      </c>
      <c r="K113" s="1642">
        <v>12</v>
      </c>
      <c r="L113" s="1643"/>
      <c r="M113" s="1671"/>
      <c r="N113" s="1644"/>
      <c r="O113" s="1644" t="s">
        <v>22</v>
      </c>
      <c r="P113" s="1700">
        <f>ROUNDUP(G113*I113*K113,-3)</f>
        <v>273000</v>
      </c>
      <c r="Q113" s="1655"/>
      <c r="R113" s="1655"/>
      <c r="S113" s="1656"/>
      <c r="T113" s="1730"/>
    </row>
    <row r="114" spans="1:27" ht="15" customHeight="1">
      <c r="A114" s="1603"/>
      <c r="B114" s="1618"/>
      <c r="C114" s="1619"/>
      <c r="D114" s="1618"/>
      <c r="E114" s="3637" t="s">
        <v>3144</v>
      </c>
      <c r="F114" s="3638"/>
      <c r="G114" s="3638"/>
      <c r="H114" s="3638"/>
      <c r="I114" s="3638"/>
      <c r="J114" s="3638"/>
      <c r="K114" s="3638"/>
      <c r="L114" s="3638"/>
      <c r="M114" s="3638"/>
      <c r="N114" s="3638"/>
      <c r="O114" s="3638"/>
      <c r="P114" s="3639"/>
      <c r="Q114" s="1628">
        <f>P115</f>
        <v>2400000</v>
      </c>
      <c r="R114" s="1628">
        <v>5396000</v>
      </c>
      <c r="S114" s="1629">
        <f>Q114-R114</f>
        <v>-2996000</v>
      </c>
      <c r="T114" s="1630">
        <f>S114/R114</f>
        <v>-0.55522609340252038</v>
      </c>
    </row>
    <row r="115" spans="1:27" ht="15" customHeight="1">
      <c r="A115" s="1603"/>
      <c r="B115" s="1618"/>
      <c r="C115" s="1619"/>
      <c r="D115" s="1618"/>
      <c r="F115" s="1631" t="s">
        <v>94</v>
      </c>
      <c r="G115" s="686"/>
      <c r="H115" s="1632"/>
      <c r="I115" s="1632"/>
      <c r="J115" s="1632"/>
      <c r="K115" s="1632"/>
      <c r="L115" s="1631"/>
      <c r="M115" s="1633"/>
      <c r="N115" s="1632"/>
      <c r="O115" s="1633"/>
      <c r="P115" s="1634">
        <f>SUM(P116:P116)</f>
        <v>2400000</v>
      </c>
      <c r="Q115" s="1635">
        <f>P115</f>
        <v>2400000</v>
      </c>
      <c r="R115" s="1635">
        <v>5396000</v>
      </c>
      <c r="S115" s="1636">
        <f>Q115-R115</f>
        <v>-2996000</v>
      </c>
      <c r="T115" s="1637">
        <f>S115/R115</f>
        <v>-0.55522609340252038</v>
      </c>
    </row>
    <row r="116" spans="1:27" ht="15" customHeight="1">
      <c r="A116" s="1603"/>
      <c r="B116" s="1618"/>
      <c r="C116" s="1619"/>
      <c r="D116" s="1618"/>
      <c r="E116" s="3321"/>
      <c r="F116" s="1709" t="s">
        <v>470</v>
      </c>
      <c r="G116" s="880">
        <v>600000</v>
      </c>
      <c r="H116" s="1640" t="s">
        <v>21</v>
      </c>
      <c r="I116" s="1670">
        <v>4</v>
      </c>
      <c r="J116" s="1640"/>
      <c r="K116" s="1671"/>
      <c r="L116" s="1643"/>
      <c r="M116" s="1671"/>
      <c r="N116" s="1644"/>
      <c r="O116" s="1644" t="s">
        <v>22</v>
      </c>
      <c r="P116" s="1700">
        <f>ROUNDUP(G116*I116,-3)</f>
        <v>2400000</v>
      </c>
      <c r="Q116" s="1655"/>
      <c r="R116" s="1655"/>
      <c r="S116" s="1656"/>
      <c r="T116" s="1730"/>
    </row>
    <row r="117" spans="1:27" ht="15" customHeight="1">
      <c r="A117" s="1603"/>
      <c r="B117" s="1618"/>
      <c r="C117" s="1619"/>
      <c r="D117" s="1618"/>
      <c r="E117" s="3637" t="s">
        <v>197</v>
      </c>
      <c r="F117" s="3638"/>
      <c r="G117" s="3638"/>
      <c r="H117" s="3638"/>
      <c r="I117" s="3638"/>
      <c r="J117" s="3638"/>
      <c r="K117" s="3638"/>
      <c r="L117" s="3638"/>
      <c r="M117" s="3638"/>
      <c r="N117" s="3638"/>
      <c r="O117" s="3638"/>
      <c r="P117" s="3639"/>
      <c r="Q117" s="1628">
        <f>P118</f>
        <v>510000</v>
      </c>
      <c r="R117" s="1628">
        <v>510000</v>
      </c>
      <c r="S117" s="1629">
        <f>Q117-R117</f>
        <v>0</v>
      </c>
      <c r="T117" s="1630">
        <f>S117/R117</f>
        <v>0</v>
      </c>
    </row>
    <row r="118" spans="1:27" ht="15" customHeight="1">
      <c r="A118" s="1603"/>
      <c r="B118" s="1618"/>
      <c r="C118" s="1619"/>
      <c r="D118" s="1618"/>
      <c r="E118" s="3332"/>
      <c r="F118" s="1631" t="s">
        <v>97</v>
      </c>
      <c r="G118" s="686"/>
      <c r="H118" s="1632"/>
      <c r="I118" s="1632"/>
      <c r="J118" s="1632"/>
      <c r="K118" s="1632"/>
      <c r="L118" s="1631"/>
      <c r="M118" s="1633"/>
      <c r="N118" s="1632"/>
      <c r="O118" s="1633"/>
      <c r="P118" s="1634">
        <f>SUM(P119:P119)</f>
        <v>510000</v>
      </c>
      <c r="Q118" s="1635">
        <f>P118</f>
        <v>510000</v>
      </c>
      <c r="R118" s="1635">
        <v>510000</v>
      </c>
      <c r="S118" s="1636">
        <f>Q118-R118</f>
        <v>0</v>
      </c>
      <c r="T118" s="1637">
        <f>S118/R118</f>
        <v>0</v>
      </c>
    </row>
    <row r="119" spans="1:27" ht="15" customHeight="1">
      <c r="A119" s="1603"/>
      <c r="B119" s="1618"/>
      <c r="C119" s="1619"/>
      <c r="D119" s="1618"/>
      <c r="E119" s="3322"/>
      <c r="F119" s="1711" t="s">
        <v>1959</v>
      </c>
      <c r="G119" s="702">
        <v>30000</v>
      </c>
      <c r="H119" s="1640" t="s">
        <v>21</v>
      </c>
      <c r="I119" s="1641">
        <v>17</v>
      </c>
      <c r="J119" s="1640"/>
      <c r="K119" s="1671"/>
      <c r="L119" s="1643"/>
      <c r="M119" s="1671"/>
      <c r="N119" s="1644"/>
      <c r="O119" s="1676" t="s">
        <v>22</v>
      </c>
      <c r="P119" s="1718">
        <f>ROUNDUP(G119*I119,-3)</f>
        <v>510000</v>
      </c>
      <c r="Q119" s="1719"/>
      <c r="R119" s="1719"/>
      <c r="S119" s="1701"/>
      <c r="T119" s="1730"/>
    </row>
    <row r="120" spans="1:27" ht="15" customHeight="1">
      <c r="A120" s="1603"/>
      <c r="B120" s="1618"/>
      <c r="C120" s="1619"/>
      <c r="D120" s="1618"/>
      <c r="E120" s="3637" t="s">
        <v>3080</v>
      </c>
      <c r="F120" s="3638"/>
      <c r="G120" s="3638"/>
      <c r="H120" s="3638"/>
      <c r="I120" s="3638"/>
      <c r="J120" s="3638"/>
      <c r="K120" s="3638"/>
      <c r="L120" s="3638"/>
      <c r="M120" s="3638"/>
      <c r="N120" s="3638"/>
      <c r="O120" s="3638"/>
      <c r="P120" s="3639"/>
      <c r="Q120" s="1725">
        <f>P121</f>
        <v>2196000</v>
      </c>
      <c r="R120" s="1725">
        <v>480000</v>
      </c>
      <c r="S120" s="1629">
        <f>Q120-R120</f>
        <v>1716000</v>
      </c>
      <c r="T120" s="1630">
        <f>S120/R120</f>
        <v>3.5750000000000002</v>
      </c>
    </row>
    <row r="121" spans="1:27" ht="15" customHeight="1">
      <c r="A121" s="1603"/>
      <c r="B121" s="1618"/>
      <c r="C121" s="1619"/>
      <c r="D121" s="1618"/>
      <c r="E121" s="1615"/>
      <c r="F121" s="1731" t="s">
        <v>471</v>
      </c>
      <c r="G121" s="954"/>
      <c r="H121" s="1732"/>
      <c r="I121" s="1732"/>
      <c r="J121" s="1732"/>
      <c r="K121" s="1732"/>
      <c r="L121" s="1731"/>
      <c r="M121" s="1733"/>
      <c r="N121" s="1732"/>
      <c r="O121" s="1733"/>
      <c r="P121" s="1734">
        <f>SUM(P122:P123)</f>
        <v>2196000</v>
      </c>
      <c r="Q121" s="1635">
        <f>P121</f>
        <v>2196000</v>
      </c>
      <c r="R121" s="1735">
        <v>480000</v>
      </c>
      <c r="S121" s="1636">
        <f>Q121-R121</f>
        <v>1716000</v>
      </c>
      <c r="T121" s="1637">
        <f>S121/R121</f>
        <v>3.5750000000000002</v>
      </c>
    </row>
    <row r="122" spans="1:27" ht="15" customHeight="1">
      <c r="A122" s="1603"/>
      <c r="B122" s="1618"/>
      <c r="C122" s="1619"/>
      <c r="D122" s="1618"/>
      <c r="E122" s="3330"/>
      <c r="F122" s="1709" t="s">
        <v>472</v>
      </c>
      <c r="G122" s="880">
        <v>150000</v>
      </c>
      <c r="H122" s="1640" t="s">
        <v>21</v>
      </c>
      <c r="I122" s="1642">
        <v>12</v>
      </c>
      <c r="J122" s="1640"/>
      <c r="K122" s="1671"/>
      <c r="L122" s="1643"/>
      <c r="M122" s="1671"/>
      <c r="N122" s="1644"/>
      <c r="O122" s="1644" t="s">
        <v>22</v>
      </c>
      <c r="P122" s="1700">
        <f>ROUNDUP(G122*I122,-3)</f>
        <v>1800000</v>
      </c>
      <c r="Q122" s="1655"/>
      <c r="R122" s="1655"/>
      <c r="S122" s="1656"/>
      <c r="T122" s="1730"/>
    </row>
    <row r="123" spans="1:27" ht="15" customHeight="1">
      <c r="A123" s="1603"/>
      <c r="B123" s="1618"/>
      <c r="C123" s="1619"/>
      <c r="D123" s="1618"/>
      <c r="E123" s="3330"/>
      <c r="F123" s="1709" t="s">
        <v>1960</v>
      </c>
      <c r="G123" s="880">
        <v>33000</v>
      </c>
      <c r="H123" s="1640" t="s">
        <v>21</v>
      </c>
      <c r="I123" s="1642">
        <v>12</v>
      </c>
      <c r="J123" s="1640"/>
      <c r="K123" s="1671"/>
      <c r="L123" s="1643"/>
      <c r="M123" s="1671"/>
      <c r="N123" s="1644"/>
      <c r="O123" s="1644" t="s">
        <v>1884</v>
      </c>
      <c r="P123" s="1700">
        <f>ROUNDUP(G123*I123,-3)</f>
        <v>396000</v>
      </c>
      <c r="Q123" s="1655"/>
      <c r="R123" s="1655"/>
      <c r="S123" s="1656"/>
      <c r="T123" s="1730"/>
    </row>
    <row r="124" spans="1:27" ht="15" customHeight="1">
      <c r="A124" s="1603"/>
      <c r="B124" s="1618"/>
      <c r="C124" s="1619"/>
      <c r="D124" s="1618"/>
      <c r="E124" s="3637" t="s">
        <v>221</v>
      </c>
      <c r="F124" s="3638"/>
      <c r="G124" s="3638"/>
      <c r="H124" s="3638"/>
      <c r="I124" s="3638"/>
      <c r="J124" s="3638"/>
      <c r="K124" s="3638"/>
      <c r="L124" s="3638"/>
      <c r="M124" s="3638"/>
      <c r="N124" s="3638"/>
      <c r="O124" s="3638"/>
      <c r="P124" s="3639"/>
      <c r="Q124" s="1628">
        <f>ROUNDUP(SUM(P125),-3)</f>
        <v>1200000</v>
      </c>
      <c r="R124" s="1628">
        <v>6600000</v>
      </c>
      <c r="S124" s="1629">
        <f>Q124-R124</f>
        <v>-5400000</v>
      </c>
      <c r="T124" s="1630">
        <f>S124/R124</f>
        <v>-0.81818181818181823</v>
      </c>
    </row>
    <row r="125" spans="1:27" ht="15" customHeight="1">
      <c r="A125" s="1603"/>
      <c r="B125" s="1618"/>
      <c r="C125" s="1619"/>
      <c r="D125" s="1618"/>
      <c r="E125" s="1618"/>
      <c r="F125" s="1631" t="s">
        <v>473</v>
      </c>
      <c r="G125" s="686"/>
      <c r="H125" s="1632"/>
      <c r="I125" s="1732"/>
      <c r="J125" s="1732"/>
      <c r="K125" s="1732"/>
      <c r="L125" s="1731"/>
      <c r="M125" s="1733"/>
      <c r="N125" s="1632"/>
      <c r="O125" s="1633"/>
      <c r="P125" s="1634">
        <f>SUM(P126:P126)</f>
        <v>1200000</v>
      </c>
      <c r="Q125" s="1635">
        <f>P125</f>
        <v>1200000</v>
      </c>
      <c r="R125" s="1635">
        <v>6600000</v>
      </c>
      <c r="S125" s="1636">
        <f>Q125-R125</f>
        <v>-5400000</v>
      </c>
      <c r="T125" s="1637">
        <f>S125/R125</f>
        <v>-0.81818181818181823</v>
      </c>
    </row>
    <row r="126" spans="1:27" ht="15" customHeight="1">
      <c r="A126" s="1603"/>
      <c r="B126" s="1618"/>
      <c r="C126" s="1619"/>
      <c r="D126" s="1618"/>
      <c r="E126" s="3333"/>
      <c r="F126" s="1714" t="s">
        <v>2346</v>
      </c>
      <c r="G126" s="893">
        <v>100000</v>
      </c>
      <c r="H126" s="1674" t="s">
        <v>21</v>
      </c>
      <c r="I126" s="1715">
        <v>12</v>
      </c>
      <c r="J126" s="1674"/>
      <c r="K126" s="1715"/>
      <c r="L126" s="1717"/>
      <c r="M126" s="1716"/>
      <c r="N126" s="1676"/>
      <c r="O126" s="1676" t="s">
        <v>22</v>
      </c>
      <c r="P126" s="1718">
        <f>ROUNDUP(G126*I126,-3)</f>
        <v>1200000</v>
      </c>
      <c r="Q126" s="1719"/>
      <c r="R126" s="1719"/>
      <c r="S126" s="1701"/>
      <c r="T126" s="1736"/>
    </row>
    <row r="127" spans="1:27" ht="15" customHeight="1">
      <c r="A127" s="1603"/>
      <c r="B127" s="1618"/>
      <c r="C127" s="1619"/>
      <c r="D127" s="1618"/>
      <c r="E127" s="3329" t="s">
        <v>474</v>
      </c>
      <c r="F127" s="1721"/>
      <c r="G127" s="1722"/>
      <c r="H127" s="1720"/>
      <c r="I127" s="1720"/>
      <c r="J127" s="1720"/>
      <c r="K127" s="1720"/>
      <c r="L127" s="1723"/>
      <c r="M127" s="1720"/>
      <c r="N127" s="1724"/>
      <c r="O127" s="1724"/>
      <c r="P127" s="1720"/>
      <c r="Q127" s="1725">
        <v>0</v>
      </c>
      <c r="R127" s="1725">
        <v>1169000</v>
      </c>
      <c r="S127" s="1726">
        <f>Q127-R127</f>
        <v>-1169000</v>
      </c>
      <c r="T127" s="1727">
        <f>S127/R127</f>
        <v>-1</v>
      </c>
    </row>
    <row r="128" spans="1:27" s="930" customFormat="1" ht="15" customHeight="1" thickBot="1">
      <c r="A128" s="617"/>
      <c r="B128" s="632"/>
      <c r="C128" s="719"/>
      <c r="D128" s="684" t="s">
        <v>200</v>
      </c>
      <c r="E128" s="2229"/>
      <c r="F128" s="1269"/>
      <c r="G128" s="636"/>
      <c r="H128" s="635"/>
      <c r="I128" s="635"/>
      <c r="J128" s="635"/>
      <c r="K128" s="635"/>
      <c r="L128" s="1268"/>
      <c r="M128" s="635"/>
      <c r="N128" s="637"/>
      <c r="O128" s="637"/>
      <c r="P128" s="635"/>
      <c r="Q128" s="638">
        <f>Q129</f>
        <v>1200000</v>
      </c>
      <c r="R128" s="638">
        <f>R129</f>
        <v>0</v>
      </c>
      <c r="S128" s="793">
        <f>Q128-R128</f>
        <v>1200000</v>
      </c>
      <c r="T128" s="1627"/>
      <c r="U128" s="1585"/>
      <c r="V128" s="1585"/>
      <c r="W128" s="1585"/>
      <c r="X128" s="1585"/>
      <c r="Y128" s="1585"/>
      <c r="Z128" s="1585"/>
      <c r="AA128" s="1585"/>
    </row>
    <row r="129" spans="1:27" s="930" customFormat="1" ht="15" customHeight="1">
      <c r="A129" s="617"/>
      <c r="B129" s="632"/>
      <c r="C129" s="719"/>
      <c r="D129" s="632"/>
      <c r="E129" s="3637" t="s">
        <v>3019</v>
      </c>
      <c r="F129" s="3638"/>
      <c r="G129" s="3638"/>
      <c r="H129" s="3638"/>
      <c r="I129" s="3638"/>
      <c r="J129" s="3638"/>
      <c r="K129" s="3638"/>
      <c r="L129" s="3638"/>
      <c r="M129" s="3638"/>
      <c r="N129" s="3638"/>
      <c r="O129" s="3638"/>
      <c r="P129" s="3639"/>
      <c r="Q129" s="645">
        <f>+P130</f>
        <v>1200000</v>
      </c>
      <c r="R129" s="645">
        <v>0</v>
      </c>
      <c r="S129" s="646">
        <f>Q129-R129</f>
        <v>1200000</v>
      </c>
      <c r="T129" s="1630"/>
      <c r="U129" s="1585"/>
      <c r="V129" s="1585"/>
      <c r="W129" s="1585"/>
      <c r="X129" s="1585"/>
      <c r="Y129" s="1585"/>
      <c r="Z129" s="1585"/>
      <c r="AA129" s="1585"/>
    </row>
    <row r="130" spans="1:27" s="930" customFormat="1" ht="15" customHeight="1">
      <c r="A130" s="617"/>
      <c r="B130" s="632"/>
      <c r="C130" s="719"/>
      <c r="D130" s="632"/>
      <c r="E130" s="725"/>
      <c r="F130" s="1631" t="s">
        <v>1961</v>
      </c>
      <c r="G130" s="686"/>
      <c r="H130" s="1632"/>
      <c r="I130" s="1632"/>
      <c r="J130" s="1632"/>
      <c r="K130" s="1632"/>
      <c r="L130" s="1631"/>
      <c r="M130" s="1633"/>
      <c r="N130" s="1632"/>
      <c r="O130" s="1633"/>
      <c r="P130" s="1634">
        <f>SUM(P131:P131)</f>
        <v>1200000</v>
      </c>
      <c r="Q130" s="1635">
        <f>P130</f>
        <v>1200000</v>
      </c>
      <c r="R130" s="1635">
        <v>0</v>
      </c>
      <c r="S130" s="1636">
        <f>Q130-R130</f>
        <v>1200000</v>
      </c>
      <c r="T130" s="1637"/>
      <c r="U130" s="1585"/>
      <c r="V130" s="1585"/>
      <c r="W130" s="1585"/>
      <c r="X130" s="1585"/>
      <c r="Y130" s="1585"/>
      <c r="Z130" s="1585"/>
      <c r="AA130" s="1585"/>
    </row>
    <row r="131" spans="1:27" s="930" customFormat="1" ht="15" customHeight="1">
      <c r="A131" s="617"/>
      <c r="B131" s="632"/>
      <c r="C131" s="719"/>
      <c r="D131" s="703"/>
      <c r="E131" s="3291"/>
      <c r="F131" s="1709" t="s">
        <v>2795</v>
      </c>
      <c r="G131" s="880">
        <v>100000</v>
      </c>
      <c r="H131" s="1640" t="s">
        <v>2472</v>
      </c>
      <c r="I131" s="1729">
        <v>12</v>
      </c>
      <c r="J131" s="1674"/>
      <c r="K131" s="1716"/>
      <c r="L131" s="1717"/>
      <c r="M131" s="1716"/>
      <c r="N131" s="1676"/>
      <c r="O131" s="1676" t="s">
        <v>2796</v>
      </c>
      <c r="P131" s="1718">
        <f>ROUNDUP(G131*I131,-3)</f>
        <v>1200000</v>
      </c>
      <c r="Q131" s="1719"/>
      <c r="R131" s="1719"/>
      <c r="S131" s="1701"/>
      <c r="T131" s="1730"/>
      <c r="U131" s="1585"/>
      <c r="V131" s="1585"/>
      <c r="W131" s="1585"/>
      <c r="X131" s="1585"/>
      <c r="Y131" s="1585"/>
      <c r="Z131" s="1585"/>
      <c r="AA131" s="1585"/>
    </row>
    <row r="132" spans="1:27" ht="15" customHeight="1">
      <c r="A132" s="1603"/>
      <c r="B132" s="1618"/>
      <c r="C132" s="3685" t="s">
        <v>3174</v>
      </c>
      <c r="D132" s="3686"/>
      <c r="E132" s="3686"/>
      <c r="F132" s="3686"/>
      <c r="G132" s="3686"/>
      <c r="H132" s="3686"/>
      <c r="I132" s="3686"/>
      <c r="J132" s="3686"/>
      <c r="K132" s="3686"/>
      <c r="L132" s="3686"/>
      <c r="M132" s="3686"/>
      <c r="N132" s="3686"/>
      <c r="O132" s="3686"/>
      <c r="P132" s="3687"/>
      <c r="Q132" s="1616">
        <f>Q133+Q135</f>
        <v>12168000</v>
      </c>
      <c r="R132" s="1616">
        <f>R133+R135</f>
        <v>818104000</v>
      </c>
      <c r="S132" s="1617">
        <f t="shared" ref="S132:S137" si="10">Q132-R132</f>
        <v>-805936000</v>
      </c>
      <c r="T132" s="1613">
        <f t="shared" ref="T132:T137" si="11">S132/R132</f>
        <v>-0.98512658537300879</v>
      </c>
    </row>
    <row r="133" spans="1:27" s="495" customFormat="1" ht="15" customHeight="1" thickBot="1">
      <c r="A133" s="513"/>
      <c r="B133" s="522"/>
      <c r="C133" s="531"/>
      <c r="D133" s="532" t="s">
        <v>120</v>
      </c>
      <c r="E133" s="3275"/>
      <c r="F133" s="533"/>
      <c r="G133" s="534"/>
      <c r="H133" s="533"/>
      <c r="I133" s="533"/>
      <c r="J133" s="533"/>
      <c r="K133" s="533"/>
      <c r="L133" s="1737"/>
      <c r="M133" s="533"/>
      <c r="N133" s="535"/>
      <c r="O133" s="535"/>
      <c r="P133" s="533"/>
      <c r="Q133" s="536">
        <f>Q134</f>
        <v>0</v>
      </c>
      <c r="R133" s="536">
        <f>R134</f>
        <v>768503000</v>
      </c>
      <c r="S133" s="1626">
        <f t="shared" si="10"/>
        <v>-768503000</v>
      </c>
      <c r="T133" s="1627">
        <f t="shared" si="11"/>
        <v>-1</v>
      </c>
    </row>
    <row r="134" spans="1:27" s="495" customFormat="1" ht="15" customHeight="1">
      <c r="A134" s="513"/>
      <c r="B134" s="522"/>
      <c r="C134" s="522"/>
      <c r="D134" s="1738"/>
      <c r="E134" s="3637" t="s">
        <v>3145</v>
      </c>
      <c r="F134" s="3638"/>
      <c r="G134" s="3638"/>
      <c r="H134" s="3638"/>
      <c r="I134" s="3638"/>
      <c r="J134" s="3638"/>
      <c r="K134" s="3638"/>
      <c r="L134" s="3638"/>
      <c r="M134" s="3638"/>
      <c r="N134" s="3638"/>
      <c r="O134" s="3638"/>
      <c r="P134" s="3639"/>
      <c r="Q134" s="540">
        <v>0</v>
      </c>
      <c r="R134" s="540">
        <v>768503000</v>
      </c>
      <c r="S134" s="1629">
        <f t="shared" si="10"/>
        <v>-768503000</v>
      </c>
      <c r="T134" s="1630">
        <f t="shared" si="11"/>
        <v>-1</v>
      </c>
    </row>
    <row r="135" spans="1:27" ht="15" customHeight="1" thickBot="1">
      <c r="A135" s="1603"/>
      <c r="B135" s="1618"/>
      <c r="C135" s="522"/>
      <c r="D135" s="1739" t="s">
        <v>475</v>
      </c>
      <c r="E135" s="3327"/>
      <c r="F135" s="1704"/>
      <c r="G135" s="1705"/>
      <c r="H135" s="1703"/>
      <c r="I135" s="1703"/>
      <c r="J135" s="1703"/>
      <c r="K135" s="1703"/>
      <c r="L135" s="1706"/>
      <c r="M135" s="1703"/>
      <c r="N135" s="1707"/>
      <c r="O135" s="1707"/>
      <c r="P135" s="1703"/>
      <c r="Q135" s="1708">
        <f>Q136+Q162</f>
        <v>12168000</v>
      </c>
      <c r="R135" s="1708">
        <f>R136+R162</f>
        <v>49601000</v>
      </c>
      <c r="S135" s="1626">
        <f t="shared" si="10"/>
        <v>-37433000</v>
      </c>
      <c r="T135" s="1627">
        <f t="shared" si="11"/>
        <v>-0.75468236527489363</v>
      </c>
    </row>
    <row r="136" spans="1:27" ht="15" customHeight="1">
      <c r="A136" s="1603"/>
      <c r="B136" s="1618"/>
      <c r="C136" s="522"/>
      <c r="D136" s="1615"/>
      <c r="E136" s="3637" t="s">
        <v>3007</v>
      </c>
      <c r="F136" s="3638"/>
      <c r="G136" s="3638"/>
      <c r="H136" s="3638"/>
      <c r="I136" s="3638"/>
      <c r="J136" s="3638"/>
      <c r="K136" s="3638"/>
      <c r="L136" s="3638"/>
      <c r="M136" s="3638"/>
      <c r="N136" s="3638"/>
      <c r="O136" s="3638"/>
      <c r="P136" s="3639"/>
      <c r="Q136" s="1628">
        <f>SUM(P137,P141,P144,P148,P152,P156,P158)</f>
        <v>12168000</v>
      </c>
      <c r="R136" s="1628">
        <f>SUM(R137:R161)</f>
        <v>11687000</v>
      </c>
      <c r="S136" s="1629">
        <f t="shared" si="10"/>
        <v>481000</v>
      </c>
      <c r="T136" s="1630">
        <f t="shared" si="11"/>
        <v>4.1156840934371525E-2</v>
      </c>
    </row>
    <row r="137" spans="1:27" ht="15" customHeight="1">
      <c r="A137" s="1603"/>
      <c r="B137" s="1618"/>
      <c r="C137" s="522"/>
      <c r="D137" s="1618"/>
      <c r="F137" s="1631" t="s">
        <v>476</v>
      </c>
      <c r="G137" s="686"/>
      <c r="H137" s="1632"/>
      <c r="I137" s="1632"/>
      <c r="J137" s="1632"/>
      <c r="K137" s="1632"/>
      <c r="L137" s="1631"/>
      <c r="M137" s="1633"/>
      <c r="N137" s="1632"/>
      <c r="O137" s="1633"/>
      <c r="P137" s="1634">
        <f>SUM(P138:P140)</f>
        <v>2400000</v>
      </c>
      <c r="Q137" s="1635">
        <f>P137</f>
        <v>2400000</v>
      </c>
      <c r="R137" s="1635">
        <v>2180000</v>
      </c>
      <c r="S137" s="1636">
        <f t="shared" si="10"/>
        <v>220000</v>
      </c>
      <c r="T137" s="1637">
        <f t="shared" si="11"/>
        <v>0.10091743119266056</v>
      </c>
    </row>
    <row r="138" spans="1:27" ht="15" customHeight="1">
      <c r="A138" s="1603"/>
      <c r="B138" s="1618"/>
      <c r="C138" s="522"/>
      <c r="D138" s="1618"/>
      <c r="F138" s="1658" t="s">
        <v>2797</v>
      </c>
      <c r="G138" s="1568">
        <v>70000</v>
      </c>
      <c r="H138" s="1659" t="s">
        <v>21</v>
      </c>
      <c r="I138" s="1740">
        <v>20</v>
      </c>
      <c r="J138" s="1659"/>
      <c r="K138" s="1713"/>
      <c r="L138" s="1662"/>
      <c r="M138" s="1663"/>
      <c r="N138" s="1659"/>
      <c r="O138" s="1663" t="s">
        <v>22</v>
      </c>
      <c r="P138" s="1645">
        <f>G138*I138</f>
        <v>1400000</v>
      </c>
      <c r="Q138" s="1655"/>
      <c r="R138" s="1655"/>
      <c r="S138" s="1656"/>
      <c r="T138" s="1657"/>
    </row>
    <row r="139" spans="1:27" ht="15" customHeight="1">
      <c r="A139" s="1603"/>
      <c r="B139" s="1618"/>
      <c r="C139" s="1619"/>
      <c r="D139" s="1618"/>
      <c r="F139" s="1741" t="s">
        <v>2798</v>
      </c>
      <c r="G139" s="1552">
        <v>20000</v>
      </c>
      <c r="H139" s="1659" t="s">
        <v>21</v>
      </c>
      <c r="I139" s="1742">
        <v>20</v>
      </c>
      <c r="J139" s="1659"/>
      <c r="K139" s="1713"/>
      <c r="L139" s="1662"/>
      <c r="M139" s="1663"/>
      <c r="N139" s="1659"/>
      <c r="O139" s="1663" t="s">
        <v>22</v>
      </c>
      <c r="P139" s="1645">
        <f>G139*I139</f>
        <v>400000</v>
      </c>
      <c r="Q139" s="1655"/>
      <c r="R139" s="1655"/>
      <c r="S139" s="1656"/>
      <c r="T139" s="1657"/>
    </row>
    <row r="140" spans="1:27" ht="15" customHeight="1">
      <c r="A140" s="1603"/>
      <c r="B140" s="1618"/>
      <c r="C140" s="522"/>
      <c r="D140" s="1618"/>
      <c r="F140" s="1741" t="s">
        <v>2799</v>
      </c>
      <c r="G140" s="1552">
        <v>600000</v>
      </c>
      <c r="H140" s="1659" t="s">
        <v>21</v>
      </c>
      <c r="I140" s="1742">
        <v>1</v>
      </c>
      <c r="J140" s="1659"/>
      <c r="K140" s="1713"/>
      <c r="L140" s="1662"/>
      <c r="M140" s="1663"/>
      <c r="N140" s="1659"/>
      <c r="O140" s="1663" t="s">
        <v>22</v>
      </c>
      <c r="P140" s="1645">
        <f>G140*I140</f>
        <v>600000</v>
      </c>
      <c r="Q140" s="1655"/>
      <c r="R140" s="1655"/>
      <c r="S140" s="1656"/>
      <c r="T140" s="1657"/>
    </row>
    <row r="141" spans="1:27" ht="15" customHeight="1">
      <c r="A141" s="1603"/>
      <c r="B141" s="1618"/>
      <c r="C141" s="1619"/>
      <c r="D141" s="1618"/>
      <c r="F141" s="1631" t="s">
        <v>477</v>
      </c>
      <c r="G141" s="686"/>
      <c r="H141" s="1632"/>
      <c r="I141" s="1632"/>
      <c r="J141" s="1632"/>
      <c r="K141" s="1632"/>
      <c r="L141" s="1631"/>
      <c r="M141" s="1633"/>
      <c r="N141" s="1632"/>
      <c r="O141" s="1633"/>
      <c r="P141" s="1634">
        <f>SUM(P142:P143)</f>
        <v>540000</v>
      </c>
      <c r="Q141" s="1635">
        <f>P141</f>
        <v>540000</v>
      </c>
      <c r="R141" s="1635">
        <v>425000</v>
      </c>
      <c r="S141" s="1636">
        <f>Q141-R141</f>
        <v>115000</v>
      </c>
      <c r="T141" s="1637">
        <f>S141/R141</f>
        <v>0.27058823529411763</v>
      </c>
    </row>
    <row r="142" spans="1:27" ht="15" customHeight="1">
      <c r="A142" s="1603"/>
      <c r="B142" s="1618"/>
      <c r="C142" s="522"/>
      <c r="D142" s="1618"/>
      <c r="F142" s="1658" t="s">
        <v>2800</v>
      </c>
      <c r="G142" s="1568">
        <v>70000</v>
      </c>
      <c r="H142" s="1659" t="s">
        <v>21</v>
      </c>
      <c r="I142" s="1742">
        <v>6</v>
      </c>
      <c r="J142" s="1659"/>
      <c r="K142" s="1713"/>
      <c r="L142" s="1662"/>
      <c r="M142" s="1663"/>
      <c r="N142" s="1659"/>
      <c r="O142" s="1663" t="s">
        <v>22</v>
      </c>
      <c r="P142" s="1645">
        <f>G142*I142</f>
        <v>420000</v>
      </c>
      <c r="Q142" s="1655"/>
      <c r="R142" s="1655"/>
      <c r="S142" s="1656"/>
      <c r="T142" s="1657"/>
    </row>
    <row r="143" spans="1:27" ht="15" customHeight="1">
      <c r="A143" s="1603"/>
      <c r="B143" s="1618"/>
      <c r="C143" s="1619"/>
      <c r="D143" s="1618"/>
      <c r="F143" s="1741" t="s">
        <v>2801</v>
      </c>
      <c r="G143" s="1552">
        <v>20000</v>
      </c>
      <c r="H143" s="1659" t="s">
        <v>21</v>
      </c>
      <c r="I143" s="1742">
        <v>6</v>
      </c>
      <c r="J143" s="1659"/>
      <c r="K143" s="1713"/>
      <c r="L143" s="1662"/>
      <c r="M143" s="1663"/>
      <c r="N143" s="1659"/>
      <c r="O143" s="1663" t="s">
        <v>22</v>
      </c>
      <c r="P143" s="1743">
        <f>G143*I143</f>
        <v>120000</v>
      </c>
      <c r="Q143" s="1655"/>
      <c r="R143" s="1655"/>
      <c r="S143" s="1656"/>
      <c r="T143" s="1657"/>
    </row>
    <row r="144" spans="1:27" ht="15" customHeight="1">
      <c r="A144" s="1603"/>
      <c r="B144" s="1618"/>
      <c r="C144" s="1619"/>
      <c r="D144" s="1618"/>
      <c r="F144" s="1631" t="s">
        <v>1962</v>
      </c>
      <c r="G144" s="686"/>
      <c r="H144" s="1632"/>
      <c r="I144" s="1632"/>
      <c r="J144" s="1632"/>
      <c r="K144" s="1632"/>
      <c r="L144" s="1631"/>
      <c r="M144" s="1633"/>
      <c r="N144" s="1632"/>
      <c r="O144" s="1633"/>
      <c r="P144" s="1634">
        <f>SUM(P145:P147)</f>
        <v>1675000</v>
      </c>
      <c r="Q144" s="1635">
        <f>P144</f>
        <v>1675000</v>
      </c>
      <c r="R144" s="1635">
        <v>1575000</v>
      </c>
      <c r="S144" s="1636">
        <f>Q144-R144</f>
        <v>100000</v>
      </c>
      <c r="T144" s="1637">
        <f>S144/R144</f>
        <v>6.3492063492063489E-2</v>
      </c>
    </row>
    <row r="145" spans="1:20" ht="15" customHeight="1">
      <c r="A145" s="1603"/>
      <c r="B145" s="1618"/>
      <c r="C145" s="1619"/>
      <c r="D145" s="1618"/>
      <c r="F145" s="1658" t="s">
        <v>2802</v>
      </c>
      <c r="G145" s="1568">
        <v>250000</v>
      </c>
      <c r="H145" s="1659" t="s">
        <v>21</v>
      </c>
      <c r="I145" s="1742">
        <v>5</v>
      </c>
      <c r="J145" s="1659"/>
      <c r="K145" s="1713"/>
      <c r="L145" s="1662"/>
      <c r="M145" s="1663"/>
      <c r="N145" s="1659"/>
      <c r="O145" s="1663" t="s">
        <v>22</v>
      </c>
      <c r="P145" s="1743">
        <f>G145*I145</f>
        <v>1250000</v>
      </c>
      <c r="Q145" s="1655"/>
      <c r="R145" s="1655"/>
      <c r="S145" s="1656"/>
      <c r="T145" s="1657"/>
    </row>
    <row r="146" spans="1:20" ht="15" customHeight="1">
      <c r="A146" s="1603"/>
      <c r="B146" s="1618"/>
      <c r="C146" s="1619"/>
      <c r="D146" s="1618"/>
      <c r="F146" s="1741" t="s">
        <v>2803</v>
      </c>
      <c r="G146" s="1552">
        <v>25000</v>
      </c>
      <c r="H146" s="1659" t="s">
        <v>21</v>
      </c>
      <c r="I146" s="1742">
        <v>5</v>
      </c>
      <c r="J146" s="1659"/>
      <c r="K146" s="1713"/>
      <c r="L146" s="1662"/>
      <c r="M146" s="1663"/>
      <c r="N146" s="1659"/>
      <c r="O146" s="1663" t="s">
        <v>22</v>
      </c>
      <c r="P146" s="1743">
        <f>G146*I146</f>
        <v>125000</v>
      </c>
      <c r="Q146" s="1655"/>
      <c r="R146" s="1655"/>
      <c r="S146" s="1656"/>
      <c r="T146" s="1657"/>
    </row>
    <row r="147" spans="1:20" ht="15" customHeight="1">
      <c r="A147" s="1603"/>
      <c r="B147" s="1618"/>
      <c r="C147" s="1619"/>
      <c r="D147" s="1618"/>
      <c r="F147" s="1741" t="s">
        <v>2804</v>
      </c>
      <c r="G147" s="1552">
        <v>150000</v>
      </c>
      <c r="H147" s="1659" t="s">
        <v>21</v>
      </c>
      <c r="I147" s="1742">
        <v>2</v>
      </c>
      <c r="J147" s="1659"/>
      <c r="K147" s="1713"/>
      <c r="L147" s="1662"/>
      <c r="M147" s="1663"/>
      <c r="N147" s="1659"/>
      <c r="O147" s="1663" t="s">
        <v>22</v>
      </c>
      <c r="P147" s="1743">
        <f>G147*I147</f>
        <v>300000</v>
      </c>
      <c r="Q147" s="1655"/>
      <c r="R147" s="1655"/>
      <c r="S147" s="1656"/>
      <c r="T147" s="1657"/>
    </row>
    <row r="148" spans="1:20" ht="15" customHeight="1">
      <c r="A148" s="1603"/>
      <c r="B148" s="1618"/>
      <c r="C148" s="1619"/>
      <c r="D148" s="1618"/>
      <c r="F148" s="1631" t="s">
        <v>1963</v>
      </c>
      <c r="G148" s="686"/>
      <c r="H148" s="1632"/>
      <c r="I148" s="1632"/>
      <c r="J148" s="1632"/>
      <c r="K148" s="1632"/>
      <c r="L148" s="1631"/>
      <c r="M148" s="1633"/>
      <c r="N148" s="1632"/>
      <c r="O148" s="1633"/>
      <c r="P148" s="1634">
        <f>SUM(P149:P151)</f>
        <v>2775000</v>
      </c>
      <c r="Q148" s="1635">
        <f>P148</f>
        <v>2775000</v>
      </c>
      <c r="R148" s="1635">
        <v>2689000</v>
      </c>
      <c r="S148" s="1636">
        <f>Q148-R148</f>
        <v>86000</v>
      </c>
      <c r="T148" s="1637">
        <f>S148/R148</f>
        <v>3.198214949795463E-2</v>
      </c>
    </row>
    <row r="149" spans="1:20" ht="15" customHeight="1">
      <c r="A149" s="1693"/>
      <c r="B149" s="1694"/>
      <c r="C149" s="1695"/>
      <c r="D149" s="1694"/>
      <c r="E149" s="3323"/>
      <c r="F149" s="3076" t="s">
        <v>2805</v>
      </c>
      <c r="G149" s="1534">
        <v>250000</v>
      </c>
      <c r="H149" s="3077" t="s">
        <v>21</v>
      </c>
      <c r="I149" s="3078">
        <v>9</v>
      </c>
      <c r="J149" s="3077"/>
      <c r="K149" s="3079"/>
      <c r="L149" s="3080"/>
      <c r="M149" s="3081"/>
      <c r="N149" s="3077"/>
      <c r="O149" s="3081" t="s">
        <v>22</v>
      </c>
      <c r="P149" s="3082">
        <f>G149*I149</f>
        <v>2250000</v>
      </c>
      <c r="Q149" s="1719"/>
      <c r="R149" s="1719"/>
      <c r="S149" s="1701"/>
      <c r="T149" s="1702"/>
    </row>
    <row r="150" spans="1:20" ht="15" customHeight="1">
      <c r="A150" s="1603"/>
      <c r="B150" s="1618"/>
      <c r="C150" s="1619"/>
      <c r="D150" s="1618"/>
      <c r="F150" s="1741" t="s">
        <v>2806</v>
      </c>
      <c r="G150" s="1552">
        <v>25000</v>
      </c>
      <c r="H150" s="1659" t="s">
        <v>21</v>
      </c>
      <c r="I150" s="1742">
        <v>9</v>
      </c>
      <c r="J150" s="1659"/>
      <c r="K150" s="1713"/>
      <c r="L150" s="1662"/>
      <c r="M150" s="1663"/>
      <c r="N150" s="1659"/>
      <c r="O150" s="1663" t="s">
        <v>22</v>
      </c>
      <c r="P150" s="1552">
        <f>G150*I150</f>
        <v>225000</v>
      </c>
      <c r="Q150" s="1655"/>
      <c r="R150" s="1655"/>
      <c r="S150" s="1656"/>
      <c r="T150" s="1657"/>
    </row>
    <row r="151" spans="1:20" ht="15" customHeight="1">
      <c r="A151" s="1603"/>
      <c r="B151" s="1618"/>
      <c r="C151" s="1619"/>
      <c r="D151" s="1618"/>
      <c r="F151" s="1741" t="s">
        <v>2807</v>
      </c>
      <c r="G151" s="1552">
        <v>150000</v>
      </c>
      <c r="H151" s="1659" t="s">
        <v>21</v>
      </c>
      <c r="I151" s="1742">
        <v>2</v>
      </c>
      <c r="J151" s="1659"/>
      <c r="K151" s="1713"/>
      <c r="L151" s="1662"/>
      <c r="M151" s="1663"/>
      <c r="N151" s="1659"/>
      <c r="O151" s="1663" t="s">
        <v>22</v>
      </c>
      <c r="P151" s="1743">
        <f>G151*I151</f>
        <v>300000</v>
      </c>
      <c r="Q151" s="1655"/>
      <c r="R151" s="1655"/>
      <c r="S151" s="1656"/>
      <c r="T151" s="1657"/>
    </row>
    <row r="152" spans="1:20" ht="15" customHeight="1">
      <c r="A152" s="1603"/>
      <c r="B152" s="1618"/>
      <c r="C152" s="1619"/>
      <c r="D152" s="1618"/>
      <c r="F152" s="1631" t="s">
        <v>478</v>
      </c>
      <c r="G152" s="686"/>
      <c r="H152" s="1632"/>
      <c r="I152" s="1632"/>
      <c r="J152" s="1632"/>
      <c r="K152" s="1632"/>
      <c r="L152" s="1631"/>
      <c r="M152" s="1633"/>
      <c r="N152" s="1632"/>
      <c r="O152" s="1633"/>
      <c r="P152" s="1634">
        <f>SUM(P153:P155)</f>
        <v>2380000</v>
      </c>
      <c r="Q152" s="1635">
        <f>P152</f>
        <v>2380000</v>
      </c>
      <c r="R152" s="1635">
        <v>2320000</v>
      </c>
      <c r="S152" s="1636">
        <f>Q152-R152</f>
        <v>60000</v>
      </c>
      <c r="T152" s="1637">
        <f>S152/R152</f>
        <v>2.5862068965517241E-2</v>
      </c>
    </row>
    <row r="153" spans="1:20" ht="15" customHeight="1">
      <c r="A153" s="1603"/>
      <c r="B153" s="1618"/>
      <c r="C153" s="1619"/>
      <c r="D153" s="1618"/>
      <c r="F153" s="1658" t="s">
        <v>2808</v>
      </c>
      <c r="G153" s="1568">
        <v>70000</v>
      </c>
      <c r="H153" s="1659" t="s">
        <v>21</v>
      </c>
      <c r="I153" s="1742">
        <v>26</v>
      </c>
      <c r="J153" s="1659"/>
      <c r="K153" s="1713"/>
      <c r="L153" s="1662"/>
      <c r="M153" s="1663"/>
      <c r="N153" s="1659"/>
      <c r="O153" s="1663" t="s">
        <v>22</v>
      </c>
      <c r="P153" s="1743">
        <f>G153*I153</f>
        <v>1820000</v>
      </c>
      <c r="Q153" s="1655"/>
      <c r="R153" s="1655"/>
      <c r="S153" s="1656"/>
      <c r="T153" s="1657"/>
    </row>
    <row r="154" spans="1:20" ht="15" customHeight="1">
      <c r="A154" s="1603"/>
      <c r="B154" s="1618"/>
      <c r="C154" s="1619"/>
      <c r="D154" s="1618"/>
      <c r="F154" s="1741" t="s">
        <v>3191</v>
      </c>
      <c r="G154" s="1552">
        <v>10000</v>
      </c>
      <c r="H154" s="1659" t="s">
        <v>21</v>
      </c>
      <c r="I154" s="1742">
        <v>26</v>
      </c>
      <c r="J154" s="1659"/>
      <c r="K154" s="1713"/>
      <c r="L154" s="1662"/>
      <c r="M154" s="1663"/>
      <c r="N154" s="1659"/>
      <c r="O154" s="1663" t="s">
        <v>22</v>
      </c>
      <c r="P154" s="1743">
        <f>G154*I154</f>
        <v>260000</v>
      </c>
      <c r="Q154" s="1655"/>
      <c r="R154" s="1655"/>
      <c r="S154" s="1656"/>
      <c r="T154" s="1657"/>
    </row>
    <row r="155" spans="1:20" ht="15" customHeight="1">
      <c r="A155" s="1603"/>
      <c r="B155" s="1618"/>
      <c r="C155" s="1619"/>
      <c r="D155" s="1618"/>
      <c r="F155" s="1741" t="s">
        <v>2809</v>
      </c>
      <c r="G155" s="1552">
        <v>150000</v>
      </c>
      <c r="H155" s="1659" t="s">
        <v>21</v>
      </c>
      <c r="I155" s="1744">
        <v>2</v>
      </c>
      <c r="J155" s="1659"/>
      <c r="K155" s="1713"/>
      <c r="L155" s="1662"/>
      <c r="M155" s="1663"/>
      <c r="N155" s="1659"/>
      <c r="O155" s="1663" t="s">
        <v>22</v>
      </c>
      <c r="P155" s="1743">
        <f>G155*I155</f>
        <v>300000</v>
      </c>
      <c r="Q155" s="1655"/>
      <c r="R155" s="1655"/>
      <c r="S155" s="1656"/>
      <c r="T155" s="1657"/>
    </row>
    <row r="156" spans="1:20" ht="15" customHeight="1">
      <c r="A156" s="1603"/>
      <c r="B156" s="1618"/>
      <c r="C156" s="1619"/>
      <c r="D156" s="1618"/>
      <c r="F156" s="1631" t="s">
        <v>479</v>
      </c>
      <c r="G156" s="686"/>
      <c r="H156" s="1632"/>
      <c r="I156" s="1632"/>
      <c r="J156" s="1632"/>
      <c r="K156" s="1632"/>
      <c r="L156" s="1631"/>
      <c r="M156" s="1633"/>
      <c r="N156" s="1632"/>
      <c r="O156" s="1633"/>
      <c r="P156" s="1634">
        <f>SUM(P157:P157)</f>
        <v>1000000</v>
      </c>
      <c r="Q156" s="1635">
        <f>P156</f>
        <v>1000000</v>
      </c>
      <c r="R156" s="1635">
        <v>1100000</v>
      </c>
      <c r="S156" s="1636">
        <f>Q156-R156</f>
        <v>-100000</v>
      </c>
      <c r="T156" s="1637">
        <f>S156/R156</f>
        <v>-9.0909090909090912E-2</v>
      </c>
    </row>
    <row r="157" spans="1:20" ht="15" customHeight="1">
      <c r="A157" s="1603"/>
      <c r="B157" s="1618"/>
      <c r="C157" s="1619"/>
      <c r="D157" s="1618"/>
      <c r="F157" s="1741" t="s">
        <v>2810</v>
      </c>
      <c r="G157" s="1552">
        <v>500000</v>
      </c>
      <c r="H157" s="1659" t="s">
        <v>454</v>
      </c>
      <c r="I157" s="1745">
        <v>2</v>
      </c>
      <c r="J157" s="1659"/>
      <c r="K157" s="1713"/>
      <c r="L157" s="1662"/>
      <c r="M157" s="1663"/>
      <c r="N157" s="1659"/>
      <c r="O157" s="1663" t="s">
        <v>22</v>
      </c>
      <c r="P157" s="1743">
        <f>G157*I157</f>
        <v>1000000</v>
      </c>
      <c r="Q157" s="1655"/>
      <c r="R157" s="1655"/>
      <c r="S157" s="1656"/>
      <c r="T157" s="1657"/>
    </row>
    <row r="158" spans="1:20" ht="15" customHeight="1">
      <c r="A158" s="1603"/>
      <c r="B158" s="1618"/>
      <c r="C158" s="1619"/>
      <c r="D158" s="1618"/>
      <c r="F158" s="1632" t="s">
        <v>480</v>
      </c>
      <c r="G158" s="686"/>
      <c r="H158" s="1632"/>
      <c r="I158" s="1632"/>
      <c r="J158" s="1632"/>
      <c r="K158" s="1632"/>
      <c r="L158" s="1631"/>
      <c r="M158" s="1633"/>
      <c r="N158" s="1632"/>
      <c r="O158" s="1633"/>
      <c r="P158" s="1746">
        <f>SUM(P159:P161)</f>
        <v>1398000</v>
      </c>
      <c r="Q158" s="1635">
        <f>P158</f>
        <v>1398000</v>
      </c>
      <c r="R158" s="1688">
        <v>1398000</v>
      </c>
      <c r="S158" s="1636">
        <f>Q158-R158</f>
        <v>0</v>
      </c>
      <c r="T158" s="1637">
        <f>S158/R158</f>
        <v>0</v>
      </c>
    </row>
    <row r="159" spans="1:20" ht="15" customHeight="1">
      <c r="A159" s="1603"/>
      <c r="B159" s="1618"/>
      <c r="C159" s="1619"/>
      <c r="D159" s="1618"/>
      <c r="F159" s="1658" t="s">
        <v>2811</v>
      </c>
      <c r="G159" s="1568">
        <v>250000</v>
      </c>
      <c r="H159" s="1659" t="s">
        <v>21</v>
      </c>
      <c r="I159" s="1742">
        <v>4</v>
      </c>
      <c r="J159" s="1659"/>
      <c r="K159" s="1713"/>
      <c r="L159" s="1662"/>
      <c r="M159" s="1663"/>
      <c r="N159" s="1659"/>
      <c r="O159" s="1663" t="s">
        <v>22</v>
      </c>
      <c r="P159" s="1743">
        <f>G159*I159</f>
        <v>1000000</v>
      </c>
      <c r="Q159" s="1655"/>
      <c r="R159" s="1655"/>
      <c r="S159" s="1656"/>
      <c r="T159" s="1657"/>
    </row>
    <row r="160" spans="1:20" ht="15" customHeight="1">
      <c r="A160" s="1603"/>
      <c r="B160" s="1618"/>
      <c r="C160" s="1619"/>
      <c r="D160" s="1618"/>
      <c r="F160" s="1741" t="s">
        <v>3186</v>
      </c>
      <c r="G160" s="1552">
        <v>40000</v>
      </c>
      <c r="H160" s="1659" t="s">
        <v>21</v>
      </c>
      <c r="I160" s="1742">
        <v>4</v>
      </c>
      <c r="J160" s="1659"/>
      <c r="K160" s="1713"/>
      <c r="L160" s="1662"/>
      <c r="M160" s="1663"/>
      <c r="N160" s="1659"/>
      <c r="O160" s="1663" t="s">
        <v>22</v>
      </c>
      <c r="P160" s="1743">
        <f>G160*I160</f>
        <v>160000</v>
      </c>
      <c r="Q160" s="1655"/>
      <c r="R160" s="1655"/>
      <c r="S160" s="1656"/>
      <c r="T160" s="1657"/>
    </row>
    <row r="161" spans="1:20" ht="15" customHeight="1">
      <c r="A161" s="1603"/>
      <c r="B161" s="1618"/>
      <c r="C161" s="1619"/>
      <c r="D161" s="1618"/>
      <c r="F161" s="1741" t="s">
        <v>2812</v>
      </c>
      <c r="G161" s="1552">
        <v>7000</v>
      </c>
      <c r="H161" s="1659" t="s">
        <v>21</v>
      </c>
      <c r="I161" s="1742">
        <v>2</v>
      </c>
      <c r="J161" s="1659" t="s">
        <v>21</v>
      </c>
      <c r="K161" s="1660">
        <v>17</v>
      </c>
      <c r="L161" s="1662"/>
      <c r="M161" s="1663"/>
      <c r="N161" s="1659"/>
      <c r="O161" s="1663" t="s">
        <v>22</v>
      </c>
      <c r="P161" s="1743">
        <f>G161*I161*K161</f>
        <v>238000</v>
      </c>
      <c r="Q161" s="1655"/>
      <c r="R161" s="1655"/>
      <c r="S161" s="1656"/>
      <c r="T161" s="1657"/>
    </row>
    <row r="162" spans="1:20" ht="15" customHeight="1">
      <c r="A162" s="1603"/>
      <c r="B162" s="1618"/>
      <c r="C162" s="1619"/>
      <c r="D162" s="1618"/>
      <c r="E162" s="3637" t="s">
        <v>3146</v>
      </c>
      <c r="F162" s="3638"/>
      <c r="G162" s="3638"/>
      <c r="H162" s="3638"/>
      <c r="I162" s="3638"/>
      <c r="J162" s="3638"/>
      <c r="K162" s="3638"/>
      <c r="L162" s="3638"/>
      <c r="M162" s="3638"/>
      <c r="N162" s="3638"/>
      <c r="O162" s="3638"/>
      <c r="P162" s="3639"/>
      <c r="Q162" s="1628">
        <v>0</v>
      </c>
      <c r="R162" s="1628">
        <v>37914000</v>
      </c>
      <c r="S162" s="1629">
        <f>Q162-R162</f>
        <v>-37914000</v>
      </c>
      <c r="T162" s="1630">
        <f>S162/R162</f>
        <v>-1</v>
      </c>
    </row>
    <row r="163" spans="1:20" ht="15" customHeight="1">
      <c r="A163" s="1603"/>
      <c r="B163" s="1618"/>
      <c r="C163" s="3685" t="s">
        <v>207</v>
      </c>
      <c r="D163" s="3686"/>
      <c r="E163" s="3686"/>
      <c r="F163" s="3686"/>
      <c r="G163" s="3686"/>
      <c r="H163" s="3686"/>
      <c r="I163" s="3686"/>
      <c r="J163" s="3686"/>
      <c r="K163" s="3686"/>
      <c r="L163" s="3686"/>
      <c r="M163" s="3686"/>
      <c r="N163" s="3686"/>
      <c r="O163" s="3686"/>
      <c r="P163" s="3687"/>
      <c r="Q163" s="1616">
        <f>SUM(Q164,Q174,Q180)</f>
        <v>48103000</v>
      </c>
      <c r="R163" s="1616">
        <f>SUM(R164,R174,R180)</f>
        <v>20160000</v>
      </c>
      <c r="S163" s="1617">
        <f>Q163-R163</f>
        <v>27943000</v>
      </c>
      <c r="T163" s="1613">
        <f>S163/R163</f>
        <v>1.386061507936508</v>
      </c>
    </row>
    <row r="164" spans="1:20" ht="15" customHeight="1" thickBot="1">
      <c r="A164" s="1603"/>
      <c r="B164" s="1618"/>
      <c r="C164" s="1619"/>
      <c r="D164" s="1739" t="s">
        <v>37</v>
      </c>
      <c r="E164" s="3327"/>
      <c r="F164" s="1704"/>
      <c r="G164" s="1705"/>
      <c r="H164" s="1703"/>
      <c r="I164" s="1703"/>
      <c r="J164" s="1703"/>
      <c r="K164" s="1703"/>
      <c r="L164" s="1706"/>
      <c r="M164" s="1703"/>
      <c r="N164" s="1707"/>
      <c r="O164" s="1707"/>
      <c r="P164" s="1703"/>
      <c r="Q164" s="1708">
        <f>Q165</f>
        <v>9664000</v>
      </c>
      <c r="R164" s="1708">
        <f>R165</f>
        <v>0</v>
      </c>
      <c r="S164" s="1626">
        <f>Q164-R164</f>
        <v>9664000</v>
      </c>
      <c r="T164" s="1627"/>
    </row>
    <row r="165" spans="1:20" ht="15" customHeight="1">
      <c r="A165" s="1751"/>
      <c r="B165" s="1752"/>
      <c r="C165" s="1753"/>
      <c r="D165" s="1754"/>
      <c r="E165" s="3637" t="s">
        <v>3147</v>
      </c>
      <c r="F165" s="3638"/>
      <c r="G165" s="3638"/>
      <c r="H165" s="3638"/>
      <c r="I165" s="3638"/>
      <c r="J165" s="3638"/>
      <c r="K165" s="3638"/>
      <c r="L165" s="3638"/>
      <c r="M165" s="3638"/>
      <c r="N165" s="3638"/>
      <c r="O165" s="3638"/>
      <c r="P165" s="3639"/>
      <c r="Q165" s="1725">
        <f>P166</f>
        <v>9664000</v>
      </c>
      <c r="R165" s="1725">
        <v>0</v>
      </c>
      <c r="S165" s="1629">
        <f>Q165-R165</f>
        <v>9664000</v>
      </c>
      <c r="T165" s="1630"/>
    </row>
    <row r="166" spans="1:20" ht="15" customHeight="1">
      <c r="A166" s="1751"/>
      <c r="B166" s="1752"/>
      <c r="C166" s="1753"/>
      <c r="D166" s="1753"/>
      <c r="E166" s="1618"/>
      <c r="F166" s="1507" t="s">
        <v>1964</v>
      </c>
      <c r="G166" s="686"/>
      <c r="H166" s="679"/>
      <c r="I166" s="679"/>
      <c r="J166" s="679"/>
      <c r="K166" s="679"/>
      <c r="L166" s="1508"/>
      <c r="M166" s="679"/>
      <c r="N166" s="687"/>
      <c r="O166" s="687"/>
      <c r="P166" s="681">
        <f>SUM(P167:P173)</f>
        <v>9664000</v>
      </c>
      <c r="Q166" s="1635">
        <f>P166</f>
        <v>9664000</v>
      </c>
      <c r="R166" s="1755">
        <v>0</v>
      </c>
      <c r="S166" s="1636">
        <f>Q166-R166</f>
        <v>9664000</v>
      </c>
      <c r="T166" s="1637"/>
    </row>
    <row r="167" spans="1:20" ht="15" customHeight="1">
      <c r="A167" s="1751"/>
      <c r="B167" s="1752"/>
      <c r="C167" s="1753"/>
      <c r="D167" s="1754"/>
      <c r="E167" s="1618"/>
      <c r="F167" s="1756" t="s">
        <v>1965</v>
      </c>
      <c r="G167" s="1757">
        <v>30420</v>
      </c>
      <c r="H167" s="1758" t="s">
        <v>1701</v>
      </c>
      <c r="I167" s="1759">
        <v>5</v>
      </c>
      <c r="J167" s="1758" t="s">
        <v>1701</v>
      </c>
      <c r="K167" s="1760">
        <v>12</v>
      </c>
      <c r="L167" s="1761"/>
      <c r="M167" s="1758"/>
      <c r="N167" s="1762"/>
      <c r="O167" s="1762" t="s">
        <v>1822</v>
      </c>
      <c r="P167" s="1763">
        <f t="shared" ref="P167:P173" si="12">ROUNDDOWN(G167*I167*K167,-3)</f>
        <v>1825000</v>
      </c>
      <c r="Q167" s="1764"/>
      <c r="R167" s="1765"/>
      <c r="S167" s="1766"/>
      <c r="T167" s="1767"/>
    </row>
    <row r="168" spans="1:20" ht="15" customHeight="1">
      <c r="A168" s="1751"/>
      <c r="B168" s="1752"/>
      <c r="C168" s="1753"/>
      <c r="D168" s="1754"/>
      <c r="E168" s="1618"/>
      <c r="F168" s="1756" t="s">
        <v>1966</v>
      </c>
      <c r="G168" s="1757">
        <v>25760</v>
      </c>
      <c r="H168" s="1758" t="s">
        <v>2184</v>
      </c>
      <c r="I168" s="1759">
        <v>5</v>
      </c>
      <c r="J168" s="1758" t="s">
        <v>454</v>
      </c>
      <c r="K168" s="1760">
        <v>12</v>
      </c>
      <c r="L168" s="1761"/>
      <c r="M168" s="1758"/>
      <c r="N168" s="1762"/>
      <c r="O168" s="1762" t="s">
        <v>1822</v>
      </c>
      <c r="P168" s="1763">
        <f t="shared" si="12"/>
        <v>1545000</v>
      </c>
      <c r="Q168" s="1764"/>
      <c r="R168" s="1765"/>
      <c r="S168" s="1766"/>
      <c r="T168" s="1767"/>
    </row>
    <row r="169" spans="1:20" ht="15" customHeight="1">
      <c r="A169" s="1751"/>
      <c r="B169" s="1752"/>
      <c r="C169" s="1753"/>
      <c r="D169" s="1752"/>
      <c r="E169" s="1618"/>
      <c r="F169" s="1756" t="s">
        <v>1967</v>
      </c>
      <c r="G169" s="1757">
        <v>24020</v>
      </c>
      <c r="H169" s="1758" t="s">
        <v>1701</v>
      </c>
      <c r="I169" s="1759">
        <v>5</v>
      </c>
      <c r="J169" s="1758" t="s">
        <v>2184</v>
      </c>
      <c r="K169" s="1760">
        <v>12</v>
      </c>
      <c r="L169" s="1761"/>
      <c r="M169" s="1758"/>
      <c r="N169" s="1762"/>
      <c r="O169" s="1762" t="s">
        <v>1036</v>
      </c>
      <c r="P169" s="1763">
        <f t="shared" si="12"/>
        <v>1441000</v>
      </c>
      <c r="Q169" s="1764"/>
      <c r="R169" s="1765"/>
      <c r="S169" s="1766"/>
      <c r="T169" s="1767"/>
    </row>
    <row r="170" spans="1:20" ht="15" customHeight="1">
      <c r="A170" s="1751"/>
      <c r="B170" s="1752"/>
      <c r="C170" s="1753"/>
      <c r="D170" s="1752"/>
      <c r="E170" s="1618"/>
      <c r="F170" s="1756" t="s">
        <v>1968</v>
      </c>
      <c r="G170" s="1757">
        <v>24020</v>
      </c>
      <c r="H170" s="1758" t="s">
        <v>1701</v>
      </c>
      <c r="I170" s="1759">
        <v>5</v>
      </c>
      <c r="J170" s="1758" t="s">
        <v>1701</v>
      </c>
      <c r="K170" s="1760">
        <v>12</v>
      </c>
      <c r="L170" s="1761"/>
      <c r="M170" s="1758"/>
      <c r="N170" s="1762"/>
      <c r="O170" s="1762" t="s">
        <v>1884</v>
      </c>
      <c r="P170" s="1763">
        <f t="shared" si="12"/>
        <v>1441000</v>
      </c>
      <c r="Q170" s="1764"/>
      <c r="R170" s="1765"/>
      <c r="S170" s="1766"/>
      <c r="T170" s="1767"/>
    </row>
    <row r="171" spans="1:20" ht="15" customHeight="1">
      <c r="A171" s="1751"/>
      <c r="B171" s="1752"/>
      <c r="C171" s="1753"/>
      <c r="D171" s="1752"/>
      <c r="E171" s="1618"/>
      <c r="F171" s="1756" t="s">
        <v>1969</v>
      </c>
      <c r="G171" s="1757">
        <v>20820</v>
      </c>
      <c r="H171" s="1758" t="s">
        <v>2167</v>
      </c>
      <c r="I171" s="1759">
        <v>5</v>
      </c>
      <c r="J171" s="1758" t="s">
        <v>1701</v>
      </c>
      <c r="K171" s="1760">
        <v>12</v>
      </c>
      <c r="L171" s="1761"/>
      <c r="M171" s="1758"/>
      <c r="N171" s="1762"/>
      <c r="O171" s="1762" t="s">
        <v>1036</v>
      </c>
      <c r="P171" s="1763">
        <f t="shared" si="12"/>
        <v>1249000</v>
      </c>
      <c r="Q171" s="1764"/>
      <c r="R171" s="1765"/>
      <c r="S171" s="1766"/>
      <c r="T171" s="1767"/>
    </row>
    <row r="172" spans="1:20" ht="15" customHeight="1">
      <c r="A172" s="1751"/>
      <c r="B172" s="1752"/>
      <c r="C172" s="1753"/>
      <c r="D172" s="1752"/>
      <c r="E172" s="1618"/>
      <c r="F172" s="1756" t="s">
        <v>1970</v>
      </c>
      <c r="G172" s="1757">
        <v>16490</v>
      </c>
      <c r="H172" s="1758" t="s">
        <v>2184</v>
      </c>
      <c r="I172" s="1759">
        <v>5</v>
      </c>
      <c r="J172" s="1758" t="s">
        <v>2167</v>
      </c>
      <c r="K172" s="1760">
        <v>12</v>
      </c>
      <c r="L172" s="1761"/>
      <c r="M172" s="1758"/>
      <c r="N172" s="1762"/>
      <c r="O172" s="1762" t="s">
        <v>1884</v>
      </c>
      <c r="P172" s="1763">
        <f t="shared" si="12"/>
        <v>989000</v>
      </c>
      <c r="Q172" s="1764"/>
      <c r="R172" s="1765"/>
      <c r="S172" s="1766"/>
      <c r="T172" s="1767"/>
    </row>
    <row r="173" spans="1:20" ht="15" customHeight="1">
      <c r="A173" s="1751"/>
      <c r="B173" s="1752"/>
      <c r="C173" s="1753"/>
      <c r="D173" s="1752"/>
      <c r="E173" s="1618"/>
      <c r="F173" s="1768" t="s">
        <v>1971</v>
      </c>
      <c r="G173" s="1769">
        <v>19580</v>
      </c>
      <c r="H173" s="1770" t="s">
        <v>2167</v>
      </c>
      <c r="I173" s="1771">
        <v>5</v>
      </c>
      <c r="J173" s="1770" t="s">
        <v>2167</v>
      </c>
      <c r="K173" s="1772">
        <v>12</v>
      </c>
      <c r="L173" s="1773"/>
      <c r="M173" s="1770"/>
      <c r="N173" s="1774"/>
      <c r="O173" s="1774" t="s">
        <v>1884</v>
      </c>
      <c r="P173" s="1763">
        <f t="shared" si="12"/>
        <v>1174000</v>
      </c>
      <c r="Q173" s="1775"/>
      <c r="R173" s="1776"/>
      <c r="S173" s="1777"/>
      <c r="T173" s="1778"/>
    </row>
    <row r="174" spans="1:20" s="1684" customFormat="1" ht="15" customHeight="1">
      <c r="A174" s="1679"/>
      <c r="B174" s="1680"/>
      <c r="C174" s="1680"/>
      <c r="D174" s="1779" t="s">
        <v>186</v>
      </c>
      <c r="E174" s="1785"/>
      <c r="F174" s="1781"/>
      <c r="G174" s="1782"/>
      <c r="H174" s="1780"/>
      <c r="I174" s="1780"/>
      <c r="J174" s="1780"/>
      <c r="K174" s="1780"/>
      <c r="L174" s="1783"/>
      <c r="M174" s="1780"/>
      <c r="N174" s="1784"/>
      <c r="O174" s="1784"/>
      <c r="P174" s="1785"/>
      <c r="Q174" s="1786">
        <f>Q175+Q178</f>
        <v>719000</v>
      </c>
      <c r="R174" s="1786">
        <f>SUM(R175:R179)</f>
        <v>0</v>
      </c>
      <c r="S174" s="1787">
        <f>Q174-R174</f>
        <v>719000</v>
      </c>
      <c r="T174" s="1788"/>
    </row>
    <row r="175" spans="1:20" ht="15" customHeight="1">
      <c r="A175" s="1603"/>
      <c r="B175" s="1618"/>
      <c r="C175" s="1619"/>
      <c r="D175" s="1618"/>
      <c r="E175" s="3637" t="s">
        <v>76</v>
      </c>
      <c r="F175" s="3638"/>
      <c r="G175" s="3638"/>
      <c r="H175" s="3638"/>
      <c r="I175" s="3638"/>
      <c r="J175" s="3638"/>
      <c r="K175" s="3638"/>
      <c r="L175" s="3638"/>
      <c r="M175" s="3638"/>
      <c r="N175" s="3638"/>
      <c r="O175" s="3638"/>
      <c r="P175" s="3639"/>
      <c r="Q175" s="1725">
        <f>P176</f>
        <v>719000</v>
      </c>
      <c r="R175" s="1725">
        <v>0</v>
      </c>
      <c r="S175" s="1726">
        <f>Q175-R175</f>
        <v>719000</v>
      </c>
      <c r="T175" s="1727"/>
    </row>
    <row r="176" spans="1:20" ht="15" customHeight="1">
      <c r="A176" s="1603"/>
      <c r="B176" s="1618"/>
      <c r="C176" s="1619"/>
      <c r="D176" s="1618"/>
      <c r="F176" s="1631" t="s">
        <v>77</v>
      </c>
      <c r="G176" s="686"/>
      <c r="H176" s="1632"/>
      <c r="I176" s="1632"/>
      <c r="J176" s="1632"/>
      <c r="K176" s="1632"/>
      <c r="L176" s="1631"/>
      <c r="M176" s="1633"/>
      <c r="N176" s="1632"/>
      <c r="O176" s="1633"/>
      <c r="P176" s="1634">
        <f>SUM(P177:P177)</f>
        <v>719000</v>
      </c>
      <c r="Q176" s="1635">
        <f>P176</f>
        <v>719000</v>
      </c>
      <c r="R176" s="1635">
        <v>0</v>
      </c>
      <c r="S176" s="1636">
        <f>Q176-R176</f>
        <v>719000</v>
      </c>
      <c r="T176" s="1637"/>
    </row>
    <row r="177" spans="1:22" ht="15" customHeight="1">
      <c r="A177" s="1603"/>
      <c r="B177" s="1618"/>
      <c r="C177" s="1619"/>
      <c r="D177" s="1618"/>
      <c r="F177" s="1709" t="s">
        <v>465</v>
      </c>
      <c r="G177" s="1789">
        <v>71900</v>
      </c>
      <c r="H177" s="1681" t="s">
        <v>1701</v>
      </c>
      <c r="I177" s="1790">
        <v>1</v>
      </c>
      <c r="J177" s="1681" t="s">
        <v>1701</v>
      </c>
      <c r="K177" s="1642">
        <v>10</v>
      </c>
      <c r="L177" s="1643"/>
      <c r="M177" s="1671"/>
      <c r="N177" s="1644"/>
      <c r="O177" s="1644" t="s">
        <v>22</v>
      </c>
      <c r="P177" s="1700">
        <f>ROUNDUP(G177*I177*K177,-3)</f>
        <v>719000</v>
      </c>
      <c r="Q177" s="1655"/>
      <c r="R177" s="1655"/>
      <c r="S177" s="1656"/>
      <c r="T177" s="1657"/>
    </row>
    <row r="178" spans="1:22" s="1684" customFormat="1" ht="15" customHeight="1">
      <c r="A178" s="1679"/>
      <c r="B178" s="1791"/>
      <c r="C178" s="1791"/>
      <c r="D178" s="1791"/>
      <c r="E178" s="3637" t="s">
        <v>3017</v>
      </c>
      <c r="F178" s="3638"/>
      <c r="G178" s="3638"/>
      <c r="H178" s="3638"/>
      <c r="I178" s="3638"/>
      <c r="J178" s="3638"/>
      <c r="K178" s="3638"/>
      <c r="L178" s="3638"/>
      <c r="M178" s="3638"/>
      <c r="N178" s="3638"/>
      <c r="O178" s="3638"/>
      <c r="P178" s="3639"/>
      <c r="Q178" s="1792">
        <v>0</v>
      </c>
      <c r="R178" s="1691">
        <v>0</v>
      </c>
      <c r="S178" s="1692">
        <f>Q178-R178</f>
        <v>0</v>
      </c>
      <c r="T178" s="1793"/>
    </row>
    <row r="179" spans="1:22" s="1684" customFormat="1" ht="15" customHeight="1">
      <c r="A179" s="1679"/>
      <c r="B179" s="1791"/>
      <c r="C179" s="1791"/>
      <c r="D179" s="1791"/>
      <c r="E179" s="3324"/>
      <c r="F179" s="1507" t="s">
        <v>1972</v>
      </c>
      <c r="G179" s="686"/>
      <c r="H179" s="679"/>
      <c r="I179" s="679"/>
      <c r="J179" s="679"/>
      <c r="K179" s="679"/>
      <c r="L179" s="1508"/>
      <c r="M179" s="679"/>
      <c r="N179" s="687"/>
      <c r="O179" s="687"/>
      <c r="P179" s="681">
        <v>0</v>
      </c>
      <c r="Q179" s="1635">
        <v>0</v>
      </c>
      <c r="R179" s="1755">
        <v>0</v>
      </c>
      <c r="S179" s="1636">
        <f>Q179-R179</f>
        <v>0</v>
      </c>
      <c r="T179" s="1637"/>
    </row>
    <row r="180" spans="1:22" s="1684" customFormat="1" ht="15" customHeight="1">
      <c r="A180" s="1679"/>
      <c r="B180" s="1680"/>
      <c r="C180" s="1680"/>
      <c r="D180" s="1779" t="s">
        <v>1974</v>
      </c>
      <c r="E180" s="1785"/>
      <c r="F180" s="1781"/>
      <c r="G180" s="1782"/>
      <c r="H180" s="1780"/>
      <c r="I180" s="1780"/>
      <c r="J180" s="1780"/>
      <c r="K180" s="1780"/>
      <c r="L180" s="1783"/>
      <c r="M180" s="1780"/>
      <c r="N180" s="1784"/>
      <c r="O180" s="1784"/>
      <c r="P180" s="1785"/>
      <c r="Q180" s="1786">
        <f>Q181</f>
        <v>37720000</v>
      </c>
      <c r="R180" s="1794">
        <f>SUM(R181)</f>
        <v>20160000</v>
      </c>
      <c r="S180" s="1787">
        <f>Q180-R180</f>
        <v>17560000</v>
      </c>
      <c r="T180" s="1788">
        <f>S180/R180</f>
        <v>0.87103174603174605</v>
      </c>
    </row>
    <row r="181" spans="1:22" ht="15" customHeight="1">
      <c r="A181" s="1751"/>
      <c r="B181" s="1752"/>
      <c r="C181" s="1753"/>
      <c r="D181" s="1754"/>
      <c r="E181" s="3637" t="s">
        <v>2862</v>
      </c>
      <c r="F181" s="3638"/>
      <c r="G181" s="3638"/>
      <c r="H181" s="3638"/>
      <c r="I181" s="3638"/>
      <c r="J181" s="3638"/>
      <c r="K181" s="3638"/>
      <c r="L181" s="3638"/>
      <c r="M181" s="3638"/>
      <c r="N181" s="3638"/>
      <c r="O181" s="3638"/>
      <c r="P181" s="3639"/>
      <c r="Q181" s="1725">
        <f>SUM(P182,P186,P188,P191)</f>
        <v>37720000</v>
      </c>
      <c r="R181" s="1725">
        <f>SUM(R182:R192)</f>
        <v>20160000</v>
      </c>
      <c r="S181" s="1726">
        <f>Q181-R181</f>
        <v>17560000</v>
      </c>
      <c r="T181" s="1630">
        <f>S181/R181</f>
        <v>0.87103174603174605</v>
      </c>
    </row>
    <row r="182" spans="1:22" ht="15" customHeight="1">
      <c r="A182" s="1751"/>
      <c r="B182" s="1752"/>
      <c r="C182" s="1753"/>
      <c r="D182" s="1754"/>
      <c r="E182" s="1618"/>
      <c r="F182" s="1507" t="s">
        <v>481</v>
      </c>
      <c r="G182" s="686"/>
      <c r="H182" s="679"/>
      <c r="I182" s="679"/>
      <c r="J182" s="679"/>
      <c r="K182" s="679"/>
      <c r="L182" s="1508"/>
      <c r="M182" s="679"/>
      <c r="N182" s="687"/>
      <c r="O182" s="687"/>
      <c r="P182" s="681">
        <f>SUM(P183:P185)</f>
        <v>24920000</v>
      </c>
      <c r="Q182" s="1635">
        <f>P182</f>
        <v>24920000</v>
      </c>
      <c r="R182" s="1755">
        <v>17280000</v>
      </c>
      <c r="S182" s="1636">
        <f>Q182-R182</f>
        <v>7640000</v>
      </c>
      <c r="T182" s="1637">
        <f>S182/R182</f>
        <v>0.44212962962962965</v>
      </c>
      <c r="V182" s="1795"/>
    </row>
    <row r="183" spans="1:22" ht="15" customHeight="1">
      <c r="A183" s="1751"/>
      <c r="B183" s="1752"/>
      <c r="C183" s="1753"/>
      <c r="D183" s="1754"/>
      <c r="E183" s="1618"/>
      <c r="F183" s="1658" t="s">
        <v>3188</v>
      </c>
      <c r="G183" s="1568">
        <v>1000000</v>
      </c>
      <c r="H183" s="1659" t="s">
        <v>21</v>
      </c>
      <c r="I183" s="1660">
        <v>2</v>
      </c>
      <c r="J183" s="1659" t="s">
        <v>21</v>
      </c>
      <c r="K183" s="1642">
        <v>12</v>
      </c>
      <c r="L183" s="1662"/>
      <c r="M183" s="1663"/>
      <c r="N183" s="1659"/>
      <c r="O183" s="1663" t="s">
        <v>22</v>
      </c>
      <c r="P183" s="1645">
        <f>+G183*I183*K183</f>
        <v>24000000</v>
      </c>
      <c r="Q183" s="1796"/>
      <c r="R183" s="1797"/>
      <c r="S183" s="1798"/>
      <c r="T183" s="1799"/>
    </row>
    <row r="184" spans="1:22" ht="15" customHeight="1">
      <c r="A184" s="1751"/>
      <c r="B184" s="1752"/>
      <c r="C184" s="1753"/>
      <c r="D184" s="1754"/>
      <c r="E184" s="1618"/>
      <c r="F184" s="1658" t="s">
        <v>3189</v>
      </c>
      <c r="G184" s="1568">
        <v>30000</v>
      </c>
      <c r="H184" s="1659" t="s">
        <v>2813</v>
      </c>
      <c r="I184" s="1660">
        <v>2</v>
      </c>
      <c r="J184" s="1659" t="s">
        <v>2813</v>
      </c>
      <c r="K184" s="1642">
        <v>12</v>
      </c>
      <c r="L184" s="1659" t="s">
        <v>1616</v>
      </c>
      <c r="M184" s="1740"/>
      <c r="N184" s="1659"/>
      <c r="O184" s="1663" t="s">
        <v>22</v>
      </c>
      <c r="P184" s="1645">
        <f>+G184*I184*K184</f>
        <v>720000</v>
      </c>
      <c r="Q184" s="1796"/>
      <c r="R184" s="1797"/>
      <c r="S184" s="1798"/>
      <c r="T184" s="1799"/>
    </row>
    <row r="185" spans="1:22" ht="15" customHeight="1">
      <c r="A185" s="1751"/>
      <c r="B185" s="1752"/>
      <c r="C185" s="1753"/>
      <c r="D185" s="1754"/>
      <c r="E185" s="1618"/>
      <c r="F185" s="1658" t="s">
        <v>3190</v>
      </c>
      <c r="G185" s="1568">
        <v>50000</v>
      </c>
      <c r="H185" s="1659" t="s">
        <v>1707</v>
      </c>
      <c r="I185" s="1740">
        <v>1</v>
      </c>
      <c r="J185" s="1659" t="s">
        <v>1707</v>
      </c>
      <c r="K185" s="1800">
        <v>4</v>
      </c>
      <c r="L185" s="1659"/>
      <c r="M185" s="1801"/>
      <c r="N185" s="1659"/>
      <c r="O185" s="1663" t="s">
        <v>1781</v>
      </c>
      <c r="P185" s="1645">
        <f>G185*I185*K185</f>
        <v>200000</v>
      </c>
      <c r="Q185" s="1796"/>
      <c r="R185" s="1797"/>
      <c r="S185" s="1798"/>
      <c r="T185" s="1799"/>
    </row>
    <row r="186" spans="1:22" ht="15" customHeight="1">
      <c r="A186" s="1747"/>
      <c r="B186" s="1748"/>
      <c r="C186" s="1749"/>
      <c r="D186" s="1750"/>
      <c r="E186" s="1694"/>
      <c r="F186" s="1574" t="s">
        <v>1973</v>
      </c>
      <c r="G186" s="1575"/>
      <c r="H186" s="1576"/>
      <c r="I186" s="1576"/>
      <c r="J186" s="1576"/>
      <c r="K186" s="1576"/>
      <c r="L186" s="1577"/>
      <c r="M186" s="1576"/>
      <c r="N186" s="1578"/>
      <c r="O186" s="1578"/>
      <c r="P186" s="1579">
        <f>SUM(P187)</f>
        <v>800000</v>
      </c>
      <c r="Q186" s="1697">
        <f>P186</f>
        <v>800000</v>
      </c>
      <c r="R186" s="3083">
        <v>480000</v>
      </c>
      <c r="S186" s="1698">
        <f>Q186-R186</f>
        <v>320000</v>
      </c>
      <c r="T186" s="1699">
        <f>S186/R186</f>
        <v>0.66666666666666663</v>
      </c>
    </row>
    <row r="187" spans="1:22" ht="15" customHeight="1">
      <c r="A187" s="1751"/>
      <c r="B187" s="1752"/>
      <c r="C187" s="1753"/>
      <c r="D187" s="1754"/>
      <c r="E187" s="1618"/>
      <c r="F187" s="1658" t="s">
        <v>3187</v>
      </c>
      <c r="G187" s="1568">
        <v>200000</v>
      </c>
      <c r="H187" s="1659" t="s">
        <v>21</v>
      </c>
      <c r="I187" s="1740">
        <v>1</v>
      </c>
      <c r="J187" s="1659" t="s">
        <v>1701</v>
      </c>
      <c r="K187" s="1800">
        <v>4</v>
      </c>
      <c r="L187" s="1662"/>
      <c r="M187" s="1663"/>
      <c r="N187" s="1659"/>
      <c r="O187" s="1663" t="s">
        <v>22</v>
      </c>
      <c r="P187" s="1645">
        <f>+G187*I187*K187</f>
        <v>800000</v>
      </c>
      <c r="Q187" s="1796"/>
      <c r="R187" s="1797"/>
      <c r="S187" s="1798"/>
      <c r="T187" s="1799"/>
    </row>
    <row r="188" spans="1:22" ht="15" customHeight="1">
      <c r="A188" s="1751"/>
      <c r="B188" s="1752"/>
      <c r="C188" s="1753"/>
      <c r="D188" s="1754"/>
      <c r="E188" s="1618"/>
      <c r="F188" s="1507" t="s">
        <v>1975</v>
      </c>
      <c r="G188" s="686"/>
      <c r="H188" s="679"/>
      <c r="I188" s="679"/>
      <c r="J188" s="679"/>
      <c r="K188" s="679"/>
      <c r="L188" s="1508"/>
      <c r="M188" s="679"/>
      <c r="N188" s="687"/>
      <c r="O188" s="687"/>
      <c r="P188" s="681">
        <f>SUM(P189:P190)</f>
        <v>10800000</v>
      </c>
      <c r="Q188" s="1635">
        <f>P188</f>
        <v>10800000</v>
      </c>
      <c r="R188" s="1755">
        <v>2400000</v>
      </c>
      <c r="S188" s="1636">
        <f>Q188-R188</f>
        <v>8400000</v>
      </c>
      <c r="T188" s="1637">
        <f>S188/R188</f>
        <v>3.5</v>
      </c>
    </row>
    <row r="189" spans="1:22" ht="15" customHeight="1">
      <c r="A189" s="1751"/>
      <c r="B189" s="1752"/>
      <c r="C189" s="1753"/>
      <c r="D189" s="1754"/>
      <c r="E189" s="1618"/>
      <c r="F189" s="1658" t="s">
        <v>2814</v>
      </c>
      <c r="G189" s="1568">
        <v>35000</v>
      </c>
      <c r="H189" s="1659" t="s">
        <v>21</v>
      </c>
      <c r="I189" s="1742">
        <v>20</v>
      </c>
      <c r="J189" s="1659" t="s">
        <v>21</v>
      </c>
      <c r="K189" s="1642">
        <v>12</v>
      </c>
      <c r="L189" s="1662"/>
      <c r="M189" s="1663"/>
      <c r="N189" s="1659"/>
      <c r="O189" s="1663" t="s">
        <v>22</v>
      </c>
      <c r="P189" s="1645">
        <f>+G189*I189*K189</f>
        <v>8400000</v>
      </c>
      <c r="Q189" s="1796"/>
      <c r="R189" s="1797"/>
      <c r="S189" s="1798"/>
      <c r="T189" s="1799"/>
    </row>
    <row r="190" spans="1:22" ht="15" customHeight="1">
      <c r="A190" s="1751"/>
      <c r="B190" s="1752"/>
      <c r="C190" s="1753"/>
      <c r="D190" s="1754"/>
      <c r="E190" s="1618"/>
      <c r="F190" s="1658" t="s">
        <v>2815</v>
      </c>
      <c r="G190" s="1568">
        <v>10000</v>
      </c>
      <c r="H190" s="1659" t="s">
        <v>21</v>
      </c>
      <c r="I190" s="1742">
        <v>20</v>
      </c>
      <c r="J190" s="1659" t="s">
        <v>21</v>
      </c>
      <c r="K190" s="1642">
        <v>12</v>
      </c>
      <c r="L190" s="1662"/>
      <c r="M190" s="1663"/>
      <c r="N190" s="1659"/>
      <c r="O190" s="1663" t="s">
        <v>22</v>
      </c>
      <c r="P190" s="1645">
        <f>+G190*I190*K190</f>
        <v>2400000</v>
      </c>
      <c r="Q190" s="1796"/>
      <c r="R190" s="1797"/>
      <c r="S190" s="1798"/>
      <c r="T190" s="1799"/>
    </row>
    <row r="191" spans="1:22" ht="15" customHeight="1">
      <c r="A191" s="1751"/>
      <c r="B191" s="1752"/>
      <c r="C191" s="1753"/>
      <c r="D191" s="1754"/>
      <c r="E191" s="1618"/>
      <c r="F191" s="1507" t="s">
        <v>1976</v>
      </c>
      <c r="G191" s="686"/>
      <c r="H191" s="679"/>
      <c r="I191" s="679"/>
      <c r="J191" s="679"/>
      <c r="K191" s="679"/>
      <c r="L191" s="1508"/>
      <c r="M191" s="679"/>
      <c r="N191" s="687"/>
      <c r="O191" s="687"/>
      <c r="P191" s="681">
        <f>SUM(P192:P192)</f>
        <v>1200000</v>
      </c>
      <c r="Q191" s="1635">
        <f>P191</f>
        <v>1200000</v>
      </c>
      <c r="R191" s="1755">
        <v>0</v>
      </c>
      <c r="S191" s="1636">
        <f>Q191-R191</f>
        <v>1200000</v>
      </c>
      <c r="T191" s="1637"/>
    </row>
    <row r="192" spans="1:22" ht="15" customHeight="1">
      <c r="A192" s="1751"/>
      <c r="B192" s="1752"/>
      <c r="C192" s="1753"/>
      <c r="D192" s="1754"/>
      <c r="E192" s="1618"/>
      <c r="F192" s="1658" t="s">
        <v>1977</v>
      </c>
      <c r="G192" s="1568">
        <v>100000</v>
      </c>
      <c r="H192" s="1659" t="s">
        <v>1701</v>
      </c>
      <c r="I192" s="1742">
        <v>1</v>
      </c>
      <c r="J192" s="1659" t="s">
        <v>1701</v>
      </c>
      <c r="K192" s="1642">
        <v>12</v>
      </c>
      <c r="L192" s="1662"/>
      <c r="M192" s="1663"/>
      <c r="N192" s="1659"/>
      <c r="O192" s="1663" t="s">
        <v>1802</v>
      </c>
      <c r="P192" s="1645">
        <f>+G192*I192*K192</f>
        <v>1200000</v>
      </c>
      <c r="Q192" s="1796"/>
      <c r="R192" s="1797"/>
      <c r="S192" s="1798"/>
      <c r="T192" s="1799"/>
    </row>
    <row r="193" spans="1:20" ht="15" customHeight="1">
      <c r="A193" s="1603"/>
      <c r="B193" s="1618"/>
      <c r="C193" s="3685" t="s">
        <v>3175</v>
      </c>
      <c r="D193" s="3686"/>
      <c r="E193" s="3686"/>
      <c r="F193" s="3686"/>
      <c r="G193" s="3686"/>
      <c r="H193" s="3686"/>
      <c r="I193" s="3686"/>
      <c r="J193" s="3686"/>
      <c r="K193" s="3686"/>
      <c r="L193" s="3686"/>
      <c r="M193" s="3686"/>
      <c r="N193" s="3686"/>
      <c r="O193" s="3686"/>
      <c r="P193" s="3687"/>
      <c r="Q193" s="1616">
        <f>Q194</f>
        <v>24000</v>
      </c>
      <c r="R193" s="1616">
        <f>R194</f>
        <v>24000</v>
      </c>
      <c r="S193" s="1617">
        <f>Q193-R193</f>
        <v>0</v>
      </c>
      <c r="T193" s="1613">
        <f>S193/R193</f>
        <v>0</v>
      </c>
    </row>
    <row r="194" spans="1:20" ht="15" customHeight="1" thickBot="1">
      <c r="A194" s="1603"/>
      <c r="B194" s="1618"/>
      <c r="C194" s="1615"/>
      <c r="D194" s="1703" t="s">
        <v>223</v>
      </c>
      <c r="E194" s="3327"/>
      <c r="F194" s="1704"/>
      <c r="G194" s="1705"/>
      <c r="H194" s="1703"/>
      <c r="I194" s="1703"/>
      <c r="J194" s="1703"/>
      <c r="K194" s="1703"/>
      <c r="L194" s="1706"/>
      <c r="M194" s="1703"/>
      <c r="N194" s="1707"/>
      <c r="O194" s="1707"/>
      <c r="P194" s="1703"/>
      <c r="Q194" s="1708">
        <f>Q195</f>
        <v>24000</v>
      </c>
      <c r="R194" s="1708">
        <f>R195</f>
        <v>24000</v>
      </c>
      <c r="S194" s="1626">
        <f>Q194-R194</f>
        <v>0</v>
      </c>
      <c r="T194" s="1627">
        <f>S194/R194</f>
        <v>0</v>
      </c>
    </row>
    <row r="195" spans="1:20" ht="15" customHeight="1">
      <c r="A195" s="1603"/>
      <c r="B195" s="1618"/>
      <c r="C195" s="1618"/>
      <c r="D195" s="1615"/>
      <c r="E195" s="3637" t="s">
        <v>3148</v>
      </c>
      <c r="F195" s="3638"/>
      <c r="G195" s="3638"/>
      <c r="H195" s="3638"/>
      <c r="I195" s="3638"/>
      <c r="J195" s="3638"/>
      <c r="K195" s="3638"/>
      <c r="L195" s="3638"/>
      <c r="M195" s="3638"/>
      <c r="N195" s="3638"/>
      <c r="O195" s="3638"/>
      <c r="P195" s="3639"/>
      <c r="Q195" s="1628">
        <f>ROUNDUP(P196,-3)</f>
        <v>24000</v>
      </c>
      <c r="R195" s="1628">
        <v>24000</v>
      </c>
      <c r="S195" s="1629">
        <f>Q195-R195</f>
        <v>0</v>
      </c>
      <c r="T195" s="1630">
        <f>S195/R195</f>
        <v>0</v>
      </c>
    </row>
    <row r="196" spans="1:20" ht="15" customHeight="1">
      <c r="A196" s="1603"/>
      <c r="B196" s="1618"/>
      <c r="C196" s="1618"/>
      <c r="D196" s="1618"/>
      <c r="E196" s="1615"/>
      <c r="F196" s="1802" t="s">
        <v>224</v>
      </c>
      <c r="G196" s="1803"/>
      <c r="H196" s="1802"/>
      <c r="I196" s="1802"/>
      <c r="J196" s="1802"/>
      <c r="K196" s="1802"/>
      <c r="L196" s="1802"/>
      <c r="M196" s="1802"/>
      <c r="N196" s="1804"/>
      <c r="O196" s="1805"/>
      <c r="P196" s="1805">
        <f>P197</f>
        <v>24000</v>
      </c>
      <c r="Q196" s="1635">
        <f>P196</f>
        <v>24000</v>
      </c>
      <c r="R196" s="1806">
        <v>24000</v>
      </c>
      <c r="S196" s="1636">
        <f>Q196-R196</f>
        <v>0</v>
      </c>
      <c r="T196" s="1637">
        <f>S196/R196</f>
        <v>0</v>
      </c>
    </row>
    <row r="197" spans="1:20" ht="15" customHeight="1" thickBot="1">
      <c r="A197" s="1807"/>
      <c r="B197" s="1808"/>
      <c r="C197" s="1808"/>
      <c r="D197" s="1808"/>
      <c r="E197" s="3334"/>
      <c r="F197" s="1809" t="s">
        <v>225</v>
      </c>
      <c r="G197" s="1810">
        <v>24000</v>
      </c>
      <c r="H197" s="1811" t="s">
        <v>51</v>
      </c>
      <c r="I197" s="1812">
        <v>1</v>
      </c>
      <c r="J197" s="1811"/>
      <c r="K197" s="1813"/>
      <c r="L197" s="1811"/>
      <c r="M197" s="1811"/>
      <c r="N197" s="1814"/>
      <c r="O197" s="1814" t="s">
        <v>122</v>
      </c>
      <c r="P197" s="1815">
        <f>G197*I197</f>
        <v>24000</v>
      </c>
      <c r="Q197" s="1816"/>
      <c r="R197" s="1816"/>
      <c r="S197" s="1817"/>
      <c r="T197" s="1818"/>
    </row>
    <row r="198" spans="1:20" ht="15" customHeight="1">
      <c r="B198" s="1585"/>
      <c r="C198" s="1585"/>
      <c r="D198" s="1585"/>
      <c r="E198" s="3335"/>
      <c r="F198" s="1752"/>
      <c r="G198" s="1752"/>
      <c r="H198" s="1752"/>
      <c r="I198" s="1752"/>
      <c r="J198" s="1752"/>
      <c r="K198" s="1752"/>
      <c r="L198" s="1752"/>
      <c r="M198" s="1752"/>
      <c r="N198" s="1752"/>
      <c r="O198" s="1752"/>
      <c r="P198" s="1752"/>
      <c r="Q198" s="1752"/>
      <c r="R198" s="1585"/>
      <c r="S198" s="1819"/>
      <c r="T198" s="1820"/>
    </row>
    <row r="199" spans="1:20" ht="15" customHeight="1">
      <c r="B199" s="1585"/>
      <c r="C199" s="1585"/>
      <c r="D199" s="1585"/>
      <c r="E199" s="3335"/>
      <c r="F199" s="1752"/>
      <c r="G199" s="1752"/>
      <c r="H199" s="1752"/>
      <c r="I199" s="1752"/>
      <c r="J199" s="1752"/>
      <c r="K199" s="1752"/>
      <c r="L199" s="1752"/>
      <c r="M199" s="1752"/>
      <c r="N199" s="1752"/>
      <c r="O199" s="1752"/>
      <c r="P199" s="1752"/>
      <c r="Q199" s="1752"/>
      <c r="R199" s="1585"/>
      <c r="S199" s="1819"/>
      <c r="T199" s="1820"/>
    </row>
    <row r="200" spans="1:20" ht="15" customHeight="1">
      <c r="B200" s="1585"/>
      <c r="C200" s="1585"/>
      <c r="D200" s="1585"/>
      <c r="E200" s="3335"/>
      <c r="F200" s="1585"/>
      <c r="G200" s="1585"/>
      <c r="L200" s="1585"/>
      <c r="N200" s="1585"/>
      <c r="O200" s="1585"/>
      <c r="Q200" s="1585"/>
      <c r="R200" s="1585"/>
      <c r="S200" s="1819"/>
      <c r="T200" s="1820"/>
    </row>
    <row r="201" spans="1:20" ht="15" customHeight="1">
      <c r="B201" s="1585"/>
      <c r="C201" s="1585"/>
      <c r="D201" s="1585"/>
      <c r="E201" s="3335"/>
      <c r="F201" s="1585"/>
      <c r="G201" s="1585"/>
      <c r="L201" s="1585"/>
      <c r="N201" s="1585"/>
      <c r="O201" s="1585"/>
      <c r="Q201" s="1585"/>
      <c r="R201" s="1585"/>
      <c r="S201" s="1819"/>
      <c r="T201" s="1820"/>
    </row>
    <row r="202" spans="1:20" ht="15" customHeight="1">
      <c r="B202" s="1585"/>
      <c r="C202" s="1585"/>
      <c r="D202" s="1585"/>
      <c r="E202" s="3335"/>
      <c r="F202" s="1585"/>
      <c r="G202" s="1585"/>
      <c r="L202" s="1585"/>
      <c r="N202" s="1585"/>
      <c r="O202" s="1585"/>
      <c r="Q202" s="1585"/>
      <c r="R202" s="1585"/>
      <c r="S202" s="1819"/>
      <c r="T202" s="1820"/>
    </row>
    <row r="203" spans="1:20" ht="15" customHeight="1">
      <c r="B203" s="1585"/>
      <c r="C203" s="1585"/>
      <c r="D203" s="1585"/>
      <c r="E203" s="3335"/>
      <c r="F203" s="1585"/>
      <c r="G203" s="1585"/>
      <c r="L203" s="1585"/>
      <c r="N203" s="1585"/>
      <c r="O203" s="1585"/>
      <c r="Q203" s="1585"/>
      <c r="R203" s="1585"/>
      <c r="S203" s="1819"/>
      <c r="T203" s="1820"/>
    </row>
    <row r="204" spans="1:20" ht="15" customHeight="1">
      <c r="B204" s="1585"/>
      <c r="C204" s="1585"/>
      <c r="D204" s="1585"/>
      <c r="E204" s="3335"/>
      <c r="F204" s="1585"/>
      <c r="G204" s="1585"/>
      <c r="L204" s="1585"/>
      <c r="N204" s="1585"/>
      <c r="O204" s="1585"/>
      <c r="Q204" s="1585"/>
      <c r="R204" s="1585"/>
      <c r="S204" s="1819"/>
      <c r="T204" s="1820"/>
    </row>
    <row r="205" spans="1:20" ht="15" customHeight="1">
      <c r="B205" s="1585"/>
      <c r="C205" s="1585"/>
      <c r="D205" s="1585"/>
      <c r="E205" s="3335"/>
      <c r="F205" s="1585"/>
      <c r="G205" s="1585"/>
      <c r="L205" s="1585"/>
      <c r="N205" s="1585"/>
      <c r="O205" s="1585"/>
      <c r="Q205" s="1585"/>
      <c r="R205" s="1585"/>
      <c r="S205" s="1819"/>
      <c r="T205" s="1820"/>
    </row>
    <row r="206" spans="1:20" ht="15" customHeight="1">
      <c r="B206" s="1585"/>
      <c r="C206" s="1585"/>
      <c r="D206" s="1585"/>
      <c r="E206" s="3335"/>
      <c r="F206" s="1585"/>
      <c r="G206" s="1585"/>
      <c r="L206" s="1585"/>
      <c r="N206" s="1585"/>
      <c r="O206" s="1585"/>
      <c r="Q206" s="1585"/>
      <c r="R206" s="1585"/>
      <c r="S206" s="1819"/>
      <c r="T206" s="1820"/>
    </row>
    <row r="207" spans="1:20" ht="15" customHeight="1">
      <c r="B207" s="1585"/>
      <c r="C207" s="1585"/>
      <c r="D207" s="1585"/>
      <c r="E207" s="3335"/>
      <c r="F207" s="1585"/>
      <c r="G207" s="1585"/>
      <c r="L207" s="1585"/>
      <c r="N207" s="1585"/>
      <c r="O207" s="1585"/>
      <c r="Q207" s="1585"/>
      <c r="R207" s="1585"/>
      <c r="S207" s="1819"/>
      <c r="T207" s="1820"/>
    </row>
    <row r="208" spans="1:20" ht="15" customHeight="1">
      <c r="B208" s="1585"/>
      <c r="C208" s="1585"/>
      <c r="D208" s="1585"/>
      <c r="E208" s="3335"/>
      <c r="F208" s="1585"/>
      <c r="G208" s="1585"/>
      <c r="L208" s="1585"/>
      <c r="N208" s="1585"/>
      <c r="O208" s="1585"/>
      <c r="Q208" s="1585"/>
      <c r="R208" s="1585"/>
      <c r="S208" s="1819"/>
      <c r="T208" s="1820"/>
    </row>
    <row r="209" spans="2:20" ht="15" customHeight="1">
      <c r="B209" s="1585"/>
      <c r="C209" s="1585"/>
      <c r="D209" s="1585"/>
      <c r="E209" s="3335"/>
      <c r="F209" s="1585"/>
      <c r="G209" s="1585"/>
      <c r="L209" s="1585"/>
      <c r="N209" s="1585"/>
      <c r="O209" s="1585"/>
      <c r="Q209" s="1585"/>
      <c r="R209" s="1585"/>
      <c r="S209" s="1819"/>
      <c r="T209" s="1820"/>
    </row>
    <row r="210" spans="2:20" ht="15" customHeight="1">
      <c r="B210" s="1585"/>
      <c r="C210" s="1585"/>
      <c r="D210" s="1585"/>
      <c r="E210" s="3335"/>
      <c r="F210" s="1585"/>
      <c r="G210" s="1585"/>
      <c r="L210" s="1585"/>
      <c r="N210" s="1585"/>
      <c r="O210" s="1585"/>
      <c r="Q210" s="1585"/>
      <c r="R210" s="1585"/>
      <c r="S210" s="1819"/>
      <c r="T210" s="1820"/>
    </row>
    <row r="211" spans="2:20" ht="15" customHeight="1">
      <c r="B211" s="1585"/>
      <c r="C211" s="1585"/>
      <c r="D211" s="1585"/>
      <c r="E211" s="3335"/>
      <c r="F211" s="1585"/>
      <c r="G211" s="1585"/>
      <c r="L211" s="1585"/>
      <c r="N211" s="1585"/>
      <c r="O211" s="1585"/>
      <c r="Q211" s="1585"/>
      <c r="R211" s="1585"/>
      <c r="S211" s="1819"/>
      <c r="T211" s="1820"/>
    </row>
    <row r="212" spans="2:20" ht="15" customHeight="1">
      <c r="B212" s="1585"/>
      <c r="C212" s="1585"/>
      <c r="D212" s="1585"/>
      <c r="E212" s="3335"/>
      <c r="F212" s="1585"/>
      <c r="G212" s="1585"/>
      <c r="L212" s="1585"/>
      <c r="N212" s="1585"/>
      <c r="O212" s="1585"/>
      <c r="Q212" s="1585"/>
      <c r="R212" s="1585"/>
      <c r="S212" s="1819"/>
      <c r="T212" s="1820"/>
    </row>
    <row r="213" spans="2:20" ht="15" customHeight="1">
      <c r="B213" s="1585"/>
      <c r="C213" s="1585"/>
      <c r="D213" s="1585"/>
      <c r="E213" s="3335"/>
      <c r="F213" s="1585"/>
      <c r="G213" s="1585"/>
      <c r="L213" s="1585"/>
      <c r="N213" s="1585"/>
      <c r="O213" s="1585"/>
      <c r="Q213" s="1585"/>
      <c r="R213" s="1585"/>
      <c r="S213" s="1819"/>
      <c r="T213" s="1820"/>
    </row>
    <row r="214" spans="2:20" ht="15" customHeight="1">
      <c r="B214" s="1585"/>
      <c r="C214" s="1585"/>
      <c r="D214" s="1585"/>
      <c r="E214" s="3335"/>
      <c r="F214" s="1585"/>
      <c r="G214" s="1585"/>
      <c r="L214" s="1585"/>
      <c r="N214" s="1585"/>
      <c r="O214" s="1585"/>
      <c r="Q214" s="1585"/>
      <c r="R214" s="1585"/>
      <c r="S214" s="1819"/>
      <c r="T214" s="1820"/>
    </row>
    <row r="215" spans="2:20" ht="15" customHeight="1">
      <c r="B215" s="1585"/>
      <c r="C215" s="1585"/>
      <c r="D215" s="1585"/>
      <c r="E215" s="3335"/>
      <c r="F215" s="1585"/>
      <c r="G215" s="1585"/>
      <c r="L215" s="1585"/>
      <c r="N215" s="1585"/>
      <c r="O215" s="1585"/>
      <c r="Q215" s="1585"/>
      <c r="R215" s="1585"/>
      <c r="S215" s="1819"/>
      <c r="T215" s="1820"/>
    </row>
    <row r="216" spans="2:20" ht="15" customHeight="1">
      <c r="B216" s="1585"/>
      <c r="C216" s="1585"/>
      <c r="D216" s="1585"/>
      <c r="E216" s="3335"/>
      <c r="F216" s="1585"/>
      <c r="G216" s="1585"/>
      <c r="L216" s="1585"/>
      <c r="N216" s="1585"/>
      <c r="O216" s="1585"/>
      <c r="Q216" s="1585"/>
      <c r="R216" s="1585"/>
      <c r="S216" s="1819"/>
      <c r="T216" s="1820"/>
    </row>
    <row r="217" spans="2:20" ht="15" customHeight="1">
      <c r="B217" s="1585"/>
      <c r="C217" s="1585"/>
      <c r="D217" s="1585"/>
      <c r="E217" s="3335"/>
      <c r="F217" s="1585"/>
      <c r="G217" s="1585"/>
      <c r="L217" s="1585"/>
      <c r="N217" s="1585"/>
      <c r="O217" s="1585"/>
      <c r="Q217" s="1585"/>
      <c r="R217" s="1585"/>
      <c r="S217" s="1819"/>
      <c r="T217" s="1820"/>
    </row>
    <row r="218" spans="2:20" ht="15" customHeight="1">
      <c r="B218" s="1585"/>
      <c r="C218" s="1585"/>
      <c r="D218" s="1585"/>
      <c r="E218" s="3335"/>
      <c r="F218" s="1585"/>
      <c r="G218" s="1585"/>
      <c r="L218" s="1585"/>
      <c r="N218" s="1585"/>
      <c r="O218" s="1585"/>
      <c r="Q218" s="1585"/>
      <c r="R218" s="1585"/>
      <c r="S218" s="1819"/>
      <c r="T218" s="1820"/>
    </row>
    <row r="219" spans="2:20" ht="15" customHeight="1">
      <c r="B219" s="1585"/>
      <c r="C219" s="1585"/>
      <c r="D219" s="1585"/>
      <c r="E219" s="3335"/>
      <c r="F219" s="1585"/>
      <c r="G219" s="1585"/>
      <c r="L219" s="1585"/>
      <c r="N219" s="1585"/>
      <c r="O219" s="1585"/>
      <c r="Q219" s="1585"/>
      <c r="R219" s="1585"/>
      <c r="S219" s="1819"/>
      <c r="T219" s="1820"/>
    </row>
    <row r="220" spans="2:20" ht="15" customHeight="1">
      <c r="B220" s="1585"/>
      <c r="C220" s="1585"/>
      <c r="D220" s="1585"/>
      <c r="E220" s="3335"/>
      <c r="F220" s="1585"/>
      <c r="G220" s="1585"/>
      <c r="L220" s="1585"/>
      <c r="N220" s="1585"/>
      <c r="O220" s="1585"/>
      <c r="Q220" s="1585"/>
      <c r="R220" s="1585"/>
      <c r="S220" s="1819"/>
      <c r="T220" s="1820"/>
    </row>
    <row r="221" spans="2:20" ht="15" customHeight="1">
      <c r="B221" s="1585"/>
      <c r="C221" s="1585"/>
      <c r="D221" s="1585"/>
      <c r="E221" s="3335"/>
      <c r="F221" s="1585"/>
      <c r="G221" s="1585"/>
      <c r="L221" s="1585"/>
      <c r="N221" s="1585"/>
      <c r="O221" s="1585"/>
      <c r="Q221" s="1585"/>
      <c r="R221" s="1585"/>
      <c r="S221" s="1819"/>
      <c r="T221" s="1820"/>
    </row>
    <row r="222" spans="2:20" ht="15" customHeight="1"/>
    <row r="223" spans="2:20" ht="15" customHeight="1"/>
    <row r="224" spans="2:20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</sheetData>
  <mergeCells count="39">
    <mergeCell ref="V10:Y10"/>
    <mergeCell ref="I84:J84"/>
    <mergeCell ref="A1:T1"/>
    <mergeCell ref="S2:T2"/>
    <mergeCell ref="A3:E3"/>
    <mergeCell ref="G3:P4"/>
    <mergeCell ref="Q3:Q4"/>
    <mergeCell ref="R3:R4"/>
    <mergeCell ref="S3:S4"/>
    <mergeCell ref="T3:T4"/>
    <mergeCell ref="E71:P71"/>
    <mergeCell ref="E9:P9"/>
    <mergeCell ref="E21:P21"/>
    <mergeCell ref="E58:P58"/>
    <mergeCell ref="E82:P82"/>
    <mergeCell ref="C7:P7"/>
    <mergeCell ref="E86:P86"/>
    <mergeCell ref="E93:P93"/>
    <mergeCell ref="E96:P96"/>
    <mergeCell ref="E101:P101"/>
    <mergeCell ref="E105:P105"/>
    <mergeCell ref="E106:P106"/>
    <mergeCell ref="E109:P109"/>
    <mergeCell ref="E114:P114"/>
    <mergeCell ref="E117:P117"/>
    <mergeCell ref="E120:P120"/>
    <mergeCell ref="E195:P195"/>
    <mergeCell ref="E124:P124"/>
    <mergeCell ref="E129:P129"/>
    <mergeCell ref="E134:P134"/>
    <mergeCell ref="E136:P136"/>
    <mergeCell ref="E162:P162"/>
    <mergeCell ref="C132:P132"/>
    <mergeCell ref="C163:P163"/>
    <mergeCell ref="C193:P193"/>
    <mergeCell ref="E165:P165"/>
    <mergeCell ref="E175:P175"/>
    <mergeCell ref="E178:P178"/>
    <mergeCell ref="E181:P181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1" fitToHeight="0" orientation="landscape" r:id="rId1"/>
  <headerFooter scaleWithDoc="0"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0070C0"/>
    <pageSetUpPr fitToPage="1"/>
  </sheetPr>
  <dimension ref="A1:AA187"/>
  <sheetViews>
    <sheetView view="pageBreakPreview" zoomScaleNormal="85" zoomScaleSheetLayoutView="100" workbookViewId="0">
      <pane ySplit="8" topLeftCell="A64" activePane="bottomLeft" state="frozen"/>
      <selection activeCell="O40" sqref="O39:O40"/>
      <selection pane="bottomLeft" activeCell="E80" sqref="E80:P80"/>
    </sheetView>
  </sheetViews>
  <sheetFormatPr defaultColWidth="9" defaultRowHeight="16.5"/>
  <cols>
    <col min="1" max="1" width="3.625" style="128" customWidth="1"/>
    <col min="2" max="4" width="3.625" style="839" customWidth="1"/>
    <col min="5" max="5" width="10.625" style="897" customWidth="1"/>
    <col min="6" max="6" width="37.5" style="1256" customWidth="1"/>
    <col min="7" max="7" width="13.625" style="840" bestFit="1" customWidth="1"/>
    <col min="8" max="8" width="2.125" style="128" customWidth="1"/>
    <col min="9" max="9" width="5.625" style="128" customWidth="1"/>
    <col min="10" max="10" width="2.125" style="128" customWidth="1"/>
    <col min="11" max="11" width="5.75" style="128" customWidth="1"/>
    <col min="12" max="14" width="2.75" style="841" customWidth="1"/>
    <col min="15" max="15" width="2.625" style="841" customWidth="1"/>
    <col min="16" max="16" width="13.625" style="128" customWidth="1"/>
    <col min="17" max="17" width="10.625" style="842" customWidth="1"/>
    <col min="18" max="18" width="10.625" style="843" customWidth="1"/>
    <col min="19" max="19" width="10.625" style="1174" customWidth="1"/>
    <col min="20" max="20" width="10.625" style="1175" customWidth="1"/>
    <col min="21" max="21" width="9" style="128"/>
    <col min="22" max="23" width="11" style="128" customWidth="1"/>
    <col min="24" max="24" width="9.125" style="128" bestFit="1" customWidth="1"/>
    <col min="25" max="26" width="9" style="128"/>
    <col min="27" max="27" width="12" style="128" bestFit="1" customWidth="1"/>
    <col min="28" max="16384" width="9" style="128"/>
  </cols>
  <sheetData>
    <row r="1" spans="1:27" ht="35.1" customHeight="1">
      <c r="A1" s="3679" t="s">
        <v>2186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  <c r="T1" s="3785"/>
    </row>
    <row r="2" spans="1:27" ht="15" customHeight="1" thickBot="1">
      <c r="A2" s="128" t="s">
        <v>2187</v>
      </c>
      <c r="E2" s="792"/>
      <c r="S2" s="3680" t="s">
        <v>2188</v>
      </c>
      <c r="T2" s="3680"/>
    </row>
    <row r="3" spans="1:27" s="841" customFormat="1" ht="14.45" customHeight="1">
      <c r="A3" s="3805" t="s">
        <v>2</v>
      </c>
      <c r="B3" s="3806"/>
      <c r="C3" s="3806"/>
      <c r="D3" s="3806"/>
      <c r="E3" s="3806"/>
      <c r="F3" s="1503"/>
      <c r="G3" s="3695" t="s">
        <v>2189</v>
      </c>
      <c r="H3" s="3695"/>
      <c r="I3" s="3695"/>
      <c r="J3" s="3695"/>
      <c r="K3" s="3695"/>
      <c r="L3" s="3695"/>
      <c r="M3" s="3695"/>
      <c r="N3" s="3695"/>
      <c r="O3" s="3695"/>
      <c r="P3" s="3696"/>
      <c r="Q3" s="3699" t="s">
        <v>4</v>
      </c>
      <c r="R3" s="3701" t="s">
        <v>326</v>
      </c>
      <c r="S3" s="3703" t="s">
        <v>5</v>
      </c>
      <c r="T3" s="3705" t="s">
        <v>6</v>
      </c>
    </row>
    <row r="4" spans="1:27" s="841" customFormat="1" ht="14.45" customHeight="1" thickBot="1">
      <c r="A4" s="1504" t="s">
        <v>7</v>
      </c>
      <c r="B4" s="1505" t="s">
        <v>8</v>
      </c>
      <c r="C4" s="1505" t="s">
        <v>9</v>
      </c>
      <c r="D4" s="1505" t="s">
        <v>10</v>
      </c>
      <c r="E4" s="1505" t="s">
        <v>11</v>
      </c>
      <c r="F4" s="1506" t="s">
        <v>12</v>
      </c>
      <c r="G4" s="3697"/>
      <c r="H4" s="3697"/>
      <c r="I4" s="3697"/>
      <c r="J4" s="3697"/>
      <c r="K4" s="3697"/>
      <c r="L4" s="3697"/>
      <c r="M4" s="3697"/>
      <c r="N4" s="3697"/>
      <c r="O4" s="3697"/>
      <c r="P4" s="3698"/>
      <c r="Q4" s="3700"/>
      <c r="R4" s="3702"/>
      <c r="S4" s="3704"/>
      <c r="T4" s="3706"/>
    </row>
    <row r="5" spans="1:27" ht="14.45" customHeight="1" thickBot="1">
      <c r="A5" s="1260" t="s">
        <v>2190</v>
      </c>
      <c r="B5" s="1261"/>
      <c r="C5" s="1261"/>
      <c r="D5" s="1261"/>
      <c r="E5" s="1261"/>
      <c r="F5" s="1262"/>
      <c r="G5" s="612"/>
      <c r="H5" s="611"/>
      <c r="I5" s="611"/>
      <c r="J5" s="611"/>
      <c r="K5" s="611"/>
      <c r="L5" s="613"/>
      <c r="M5" s="613"/>
      <c r="N5" s="613"/>
      <c r="O5" s="613"/>
      <c r="P5" s="611"/>
      <c r="Q5" s="614">
        <f>Q6</f>
        <v>155824000</v>
      </c>
      <c r="R5" s="614">
        <f>R6</f>
        <v>153106000</v>
      </c>
      <c r="S5" s="937">
        <f t="shared" ref="S5:S10" si="0">Q5-R5</f>
        <v>2718000</v>
      </c>
      <c r="T5" s="616">
        <f t="shared" ref="T5:T10" si="1">S5/R5</f>
        <v>1.7752406829255548E-2</v>
      </c>
      <c r="V5" s="128">
        <v>159424000</v>
      </c>
      <c r="W5" s="128">
        <v>153106200</v>
      </c>
    </row>
    <row r="6" spans="1:27" ht="14.45" customHeight="1">
      <c r="A6" s="778"/>
      <c r="B6" s="779" t="s">
        <v>2191</v>
      </c>
      <c r="C6" s="780"/>
      <c r="D6" s="780"/>
      <c r="E6" s="780"/>
      <c r="F6" s="1264"/>
      <c r="G6" s="864"/>
      <c r="H6" s="863"/>
      <c r="I6" s="863"/>
      <c r="J6" s="863"/>
      <c r="K6" s="863"/>
      <c r="L6" s="865"/>
      <c r="M6" s="865"/>
      <c r="N6" s="865"/>
      <c r="O6" s="865"/>
      <c r="P6" s="863"/>
      <c r="Q6" s="866">
        <f>SUM(Q7,Q83,Q175,Q141)</f>
        <v>155824000</v>
      </c>
      <c r="R6" s="866">
        <f>SUM(R7,R83,R175,R141)</f>
        <v>153106000</v>
      </c>
      <c r="S6" s="924">
        <f t="shared" si="0"/>
        <v>2718000</v>
      </c>
      <c r="T6" s="925">
        <f t="shared" si="1"/>
        <v>1.7752406829255548E-2</v>
      </c>
      <c r="V6" s="1120">
        <f>Q5-V5</f>
        <v>-3600000</v>
      </c>
      <c r="W6" s="1120">
        <f>R5-W5</f>
        <v>-200</v>
      </c>
      <c r="AA6" s="128">
        <v>153106200</v>
      </c>
    </row>
    <row r="7" spans="1:27" ht="14.45" customHeight="1">
      <c r="A7" s="778"/>
      <c r="B7" s="844"/>
      <c r="C7" s="3685" t="s">
        <v>3176</v>
      </c>
      <c r="D7" s="3686"/>
      <c r="E7" s="3686"/>
      <c r="F7" s="3686"/>
      <c r="G7" s="3686"/>
      <c r="H7" s="3686"/>
      <c r="I7" s="3686"/>
      <c r="J7" s="3686"/>
      <c r="K7" s="3686"/>
      <c r="L7" s="3686"/>
      <c r="M7" s="3686"/>
      <c r="N7" s="3686"/>
      <c r="O7" s="3686"/>
      <c r="P7" s="3687"/>
      <c r="Q7" s="872">
        <f>SUM(Q8,Q30,Q79)</f>
        <v>86324000</v>
      </c>
      <c r="R7" s="872">
        <f>SUM(R8,R30,R79)</f>
        <v>86247000</v>
      </c>
      <c r="S7" s="867">
        <f t="shared" si="0"/>
        <v>77000</v>
      </c>
      <c r="T7" s="868">
        <f t="shared" si="1"/>
        <v>8.9278467656846031E-4</v>
      </c>
      <c r="AA7" s="128">
        <v>153106200</v>
      </c>
    </row>
    <row r="8" spans="1:27" ht="14.45" customHeight="1">
      <c r="A8" s="778"/>
      <c r="B8" s="786"/>
      <c r="C8" s="792"/>
      <c r="D8" s="1268" t="s">
        <v>2192</v>
      </c>
      <c r="E8" s="2229"/>
      <c r="F8" s="1269"/>
      <c r="G8" s="636"/>
      <c r="H8" s="635"/>
      <c r="I8" s="635"/>
      <c r="J8" s="635"/>
      <c r="K8" s="635"/>
      <c r="L8" s="637"/>
      <c r="M8" s="637"/>
      <c r="N8" s="637"/>
      <c r="O8" s="637"/>
      <c r="P8" s="635"/>
      <c r="Q8" s="638">
        <f>Q9+Q14+Q27</f>
        <v>62617000</v>
      </c>
      <c r="R8" s="638">
        <f>R9+R14+R27</f>
        <v>63200000</v>
      </c>
      <c r="S8" s="793">
        <f t="shared" si="0"/>
        <v>-583000</v>
      </c>
      <c r="T8" s="873">
        <f t="shared" si="1"/>
        <v>-9.2246835443037974E-3</v>
      </c>
      <c r="AA8" s="128">
        <v>86247200</v>
      </c>
    </row>
    <row r="9" spans="1:27" ht="14.45" customHeight="1">
      <c r="A9" s="778"/>
      <c r="B9" s="786"/>
      <c r="C9" s="792"/>
      <c r="D9" s="786"/>
      <c r="E9" s="3637" t="s">
        <v>184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8"/>
      <c r="P9" s="3639"/>
      <c r="Q9" s="645">
        <f>P10</f>
        <v>46800000</v>
      </c>
      <c r="R9" s="645">
        <v>44520000</v>
      </c>
      <c r="S9" s="646">
        <f t="shared" si="0"/>
        <v>2280000</v>
      </c>
      <c r="T9" s="647">
        <f t="shared" si="1"/>
        <v>5.1212938005390833E-2</v>
      </c>
      <c r="V9" s="128" t="s">
        <v>2193</v>
      </c>
      <c r="W9" s="1120">
        <f>SUM(W10:W13)</f>
        <v>116324000</v>
      </c>
      <c r="X9" s="1120">
        <f>SUM(X10:X13)</f>
        <v>118473000</v>
      </c>
      <c r="AA9" s="128">
        <v>63200000</v>
      </c>
    </row>
    <row r="10" spans="1:27" ht="14.45" customHeight="1">
      <c r="A10" s="778"/>
      <c r="B10" s="786"/>
      <c r="C10" s="792"/>
      <c r="D10" s="786"/>
      <c r="F10" s="1507" t="s">
        <v>38</v>
      </c>
      <c r="G10" s="686"/>
      <c r="H10" s="679"/>
      <c r="I10" s="679"/>
      <c r="J10" s="679"/>
      <c r="K10" s="679"/>
      <c r="L10" s="1508"/>
      <c r="M10" s="679"/>
      <c r="N10" s="687"/>
      <c r="O10" s="687"/>
      <c r="P10" s="681">
        <f>SUM(P11:P13)</f>
        <v>46800000</v>
      </c>
      <c r="Q10" s="653">
        <f>P10</f>
        <v>46800000</v>
      </c>
      <c r="R10" s="653">
        <v>44520000</v>
      </c>
      <c r="S10" s="654">
        <f t="shared" si="0"/>
        <v>2280000</v>
      </c>
      <c r="T10" s="655">
        <f t="shared" si="1"/>
        <v>5.1212938005390833E-2</v>
      </c>
      <c r="V10" s="128" t="s">
        <v>2194</v>
      </c>
      <c r="W10" s="1120">
        <f>Q8</f>
        <v>62617000</v>
      </c>
      <c r="X10" s="1120">
        <f>R8</f>
        <v>63200000</v>
      </c>
      <c r="AA10" s="128">
        <v>44520000</v>
      </c>
    </row>
    <row r="11" spans="1:27" ht="14.45" customHeight="1">
      <c r="A11" s="778"/>
      <c r="B11" s="786"/>
      <c r="C11" s="792"/>
      <c r="D11" s="786"/>
      <c r="E11" s="3282"/>
      <c r="F11" s="1277" t="s">
        <v>2195</v>
      </c>
      <c r="G11" s="1278">
        <v>1950000</v>
      </c>
      <c r="H11" s="1279" t="s">
        <v>21</v>
      </c>
      <c r="I11" s="1280">
        <v>1</v>
      </c>
      <c r="J11" s="1279" t="s">
        <v>21</v>
      </c>
      <c r="K11" s="1281">
        <v>12</v>
      </c>
      <c r="L11" s="1282"/>
      <c r="M11" s="1281"/>
      <c r="N11" s="1283"/>
      <c r="O11" s="1283" t="s">
        <v>22</v>
      </c>
      <c r="P11" s="1284">
        <f>ROUNDUP(G11*I11*K11,-3)</f>
        <v>23400000</v>
      </c>
      <c r="Q11" s="1289"/>
      <c r="R11" s="1289"/>
      <c r="S11" s="1290"/>
      <c r="T11" s="1291"/>
      <c r="V11" s="128" t="s">
        <v>2196</v>
      </c>
      <c r="W11" s="1120">
        <f>Q30</f>
        <v>22207000</v>
      </c>
      <c r="X11" s="1120">
        <f>R30</f>
        <v>19247000</v>
      </c>
      <c r="AA11" s="128">
        <v>44520000</v>
      </c>
    </row>
    <row r="12" spans="1:27" ht="14.45" customHeight="1">
      <c r="A12" s="778"/>
      <c r="B12" s="786"/>
      <c r="C12" s="792"/>
      <c r="D12" s="786"/>
      <c r="E12" s="3283"/>
      <c r="F12" s="1285" t="s">
        <v>2197</v>
      </c>
      <c r="G12" s="1278">
        <v>1250000</v>
      </c>
      <c r="H12" s="1279" t="s">
        <v>21</v>
      </c>
      <c r="I12" s="1280">
        <v>1</v>
      </c>
      <c r="J12" s="1279" t="s">
        <v>21</v>
      </c>
      <c r="K12" s="1281">
        <v>12</v>
      </c>
      <c r="L12" s="1282"/>
      <c r="M12" s="1281"/>
      <c r="N12" s="1283"/>
      <c r="O12" s="1283" t="s">
        <v>22</v>
      </c>
      <c r="P12" s="1284">
        <f>ROUNDUP(G12*I12*K12,-3)</f>
        <v>15000000</v>
      </c>
      <c r="Q12" s="1289"/>
      <c r="R12" s="1289"/>
      <c r="S12" s="1290"/>
      <c r="T12" s="1291"/>
      <c r="V12" s="128" t="s">
        <v>2198</v>
      </c>
      <c r="W12" s="1120">
        <f>Q79</f>
        <v>1500000</v>
      </c>
      <c r="X12" s="1120">
        <f>R79</f>
        <v>3800000</v>
      </c>
    </row>
    <row r="13" spans="1:27" ht="14.45" customHeight="1">
      <c r="A13" s="778"/>
      <c r="B13" s="786"/>
      <c r="C13" s="792"/>
      <c r="D13" s="786"/>
      <c r="E13" s="3283"/>
      <c r="F13" s="1285" t="s">
        <v>2199</v>
      </c>
      <c r="G13" s="1278">
        <v>700000</v>
      </c>
      <c r="H13" s="1279" t="s">
        <v>21</v>
      </c>
      <c r="I13" s="1280">
        <v>1</v>
      </c>
      <c r="J13" s="1279" t="s">
        <v>21</v>
      </c>
      <c r="K13" s="1281">
        <v>12</v>
      </c>
      <c r="L13" s="1282"/>
      <c r="M13" s="1281"/>
      <c r="N13" s="1283"/>
      <c r="O13" s="1283" t="s">
        <v>22</v>
      </c>
      <c r="P13" s="1284">
        <f>ROUNDUP(G13*I13*K13,-3)</f>
        <v>8400000</v>
      </c>
      <c r="Q13" s="1289"/>
      <c r="R13" s="1289"/>
      <c r="S13" s="1290"/>
      <c r="T13" s="1291"/>
      <c r="V13" s="128" t="s">
        <v>2200</v>
      </c>
      <c r="W13" s="1120">
        <f>Q84</f>
        <v>30000000</v>
      </c>
      <c r="X13" s="1120">
        <f>R84</f>
        <v>32226000</v>
      </c>
    </row>
    <row r="14" spans="1:27" ht="14.45" customHeight="1">
      <c r="A14" s="778"/>
      <c r="B14" s="786"/>
      <c r="C14" s="792"/>
      <c r="D14" s="786"/>
      <c r="E14" s="3637" t="s">
        <v>3149</v>
      </c>
      <c r="F14" s="3638"/>
      <c r="G14" s="3638"/>
      <c r="H14" s="3638"/>
      <c r="I14" s="3638"/>
      <c r="J14" s="3638"/>
      <c r="K14" s="3638"/>
      <c r="L14" s="3638"/>
      <c r="M14" s="3638"/>
      <c r="N14" s="3638"/>
      <c r="O14" s="3638"/>
      <c r="P14" s="3639"/>
      <c r="Q14" s="645">
        <f>SUM(P15,P17,P19,P21,P24)</f>
        <v>11000000</v>
      </c>
      <c r="R14" s="645">
        <v>15530000</v>
      </c>
      <c r="S14" s="646">
        <f>Q14-R14</f>
        <v>-4530000</v>
      </c>
      <c r="T14" s="647">
        <f>S14/R14</f>
        <v>-0.29169349645846748</v>
      </c>
    </row>
    <row r="15" spans="1:27" ht="14.45" customHeight="1">
      <c r="A15" s="778"/>
      <c r="B15" s="786"/>
      <c r="C15" s="792"/>
      <c r="D15" s="786"/>
      <c r="E15" s="3282"/>
      <c r="F15" s="1507" t="s">
        <v>456</v>
      </c>
      <c r="G15" s="686"/>
      <c r="H15" s="679"/>
      <c r="I15" s="679"/>
      <c r="J15" s="679"/>
      <c r="K15" s="679"/>
      <c r="L15" s="1508"/>
      <c r="M15" s="679"/>
      <c r="N15" s="687"/>
      <c r="O15" s="687"/>
      <c r="P15" s="681">
        <f>P16</f>
        <v>1800000</v>
      </c>
      <c r="Q15" s="653">
        <f>P15</f>
        <v>1800000</v>
      </c>
      <c r="R15" s="653">
        <v>0</v>
      </c>
      <c r="S15" s="654">
        <f>Q15-R15</f>
        <v>1800000</v>
      </c>
      <c r="T15" s="655"/>
      <c r="V15" s="128" t="s">
        <v>2201</v>
      </c>
      <c r="W15" s="1120">
        <f>SUM(W16:W19)</f>
        <v>39480000</v>
      </c>
      <c r="X15" s="1120">
        <f>SUM(X16:X19)</f>
        <v>34620000</v>
      </c>
      <c r="AA15" s="128">
        <v>15530000</v>
      </c>
    </row>
    <row r="16" spans="1:27" ht="14.45" customHeight="1">
      <c r="A16" s="778"/>
      <c r="B16" s="786"/>
      <c r="C16" s="792"/>
      <c r="D16" s="786"/>
      <c r="E16" s="3283"/>
      <c r="F16" s="1509" t="s">
        <v>1978</v>
      </c>
      <c r="G16" s="880">
        <v>150000</v>
      </c>
      <c r="H16" s="691" t="s">
        <v>21</v>
      </c>
      <c r="I16" s="876">
        <v>1</v>
      </c>
      <c r="J16" s="691" t="s">
        <v>21</v>
      </c>
      <c r="K16" s="881">
        <v>12</v>
      </c>
      <c r="L16" s="1510"/>
      <c r="M16" s="881"/>
      <c r="N16" s="701"/>
      <c r="O16" s="701" t="s">
        <v>22</v>
      </c>
      <c r="P16" s="882">
        <f>G16*I16*K16</f>
        <v>1800000</v>
      </c>
      <c r="Q16" s="694"/>
      <c r="R16" s="694"/>
      <c r="S16" s="695"/>
      <c r="T16" s="696"/>
      <c r="V16" s="128" t="s">
        <v>2194</v>
      </c>
      <c r="W16" s="1120">
        <f>Q142</f>
        <v>18240000</v>
      </c>
      <c r="X16" s="1120">
        <f>R142</f>
        <v>18000000</v>
      </c>
      <c r="AA16" s="128">
        <v>0</v>
      </c>
    </row>
    <row r="17" spans="1:27" ht="14.45" customHeight="1">
      <c r="A17" s="778"/>
      <c r="B17" s="786"/>
      <c r="C17" s="792"/>
      <c r="D17" s="786"/>
      <c r="E17" s="3283"/>
      <c r="F17" s="1507" t="s">
        <v>41</v>
      </c>
      <c r="G17" s="686"/>
      <c r="H17" s="679"/>
      <c r="I17" s="679"/>
      <c r="J17" s="679"/>
      <c r="K17" s="679"/>
      <c r="L17" s="1508"/>
      <c r="M17" s="679"/>
      <c r="N17" s="687"/>
      <c r="O17" s="687"/>
      <c r="P17" s="681">
        <f>P18</f>
        <v>3600000</v>
      </c>
      <c r="Q17" s="653">
        <f>P17</f>
        <v>3600000</v>
      </c>
      <c r="R17" s="653">
        <v>4800000</v>
      </c>
      <c r="S17" s="654">
        <f>Q17-R17</f>
        <v>-1200000</v>
      </c>
      <c r="T17" s="655">
        <f>S17/R17</f>
        <v>-0.25</v>
      </c>
      <c r="V17" s="128" t="s">
        <v>2196</v>
      </c>
      <c r="W17" s="1120">
        <f>Q148</f>
        <v>2040000</v>
      </c>
      <c r="X17" s="1120">
        <f>R148</f>
        <v>2220000</v>
      </c>
    </row>
    <row r="18" spans="1:27" ht="14.45" customHeight="1">
      <c r="A18" s="778"/>
      <c r="B18" s="786"/>
      <c r="C18" s="792"/>
      <c r="D18" s="786"/>
      <c r="E18" s="3283"/>
      <c r="F18" s="1511" t="s">
        <v>42</v>
      </c>
      <c r="G18" s="880">
        <v>100000</v>
      </c>
      <c r="H18" s="691" t="s">
        <v>21</v>
      </c>
      <c r="I18" s="876">
        <v>3</v>
      </c>
      <c r="J18" s="691" t="s">
        <v>21</v>
      </c>
      <c r="K18" s="881">
        <v>12</v>
      </c>
      <c r="L18" s="1510"/>
      <c r="M18" s="881"/>
      <c r="N18" s="701"/>
      <c r="O18" s="701" t="s">
        <v>22</v>
      </c>
      <c r="P18" s="882">
        <f>G18*I18*K18</f>
        <v>3600000</v>
      </c>
      <c r="Q18" s="694"/>
      <c r="R18" s="694"/>
      <c r="S18" s="695"/>
      <c r="T18" s="696"/>
      <c r="V18" s="128" t="s">
        <v>2202</v>
      </c>
      <c r="W18" s="1120">
        <f>Q161</f>
        <v>19200000</v>
      </c>
      <c r="X18" s="1120">
        <f>R161</f>
        <v>14400000</v>
      </c>
      <c r="AA18" s="128">
        <v>4800000</v>
      </c>
    </row>
    <row r="19" spans="1:27" ht="14.45" customHeight="1">
      <c r="A19" s="778"/>
      <c r="B19" s="786"/>
      <c r="C19" s="792"/>
      <c r="D19" s="786"/>
      <c r="E19" s="3283"/>
      <c r="F19" s="1507" t="s">
        <v>2203</v>
      </c>
      <c r="G19" s="686"/>
      <c r="H19" s="679"/>
      <c r="I19" s="679"/>
      <c r="J19" s="679"/>
      <c r="K19" s="679"/>
      <c r="L19" s="1508"/>
      <c r="M19" s="679"/>
      <c r="N19" s="687"/>
      <c r="O19" s="687"/>
      <c r="P19" s="681">
        <f>P20</f>
        <v>720000</v>
      </c>
      <c r="Q19" s="653">
        <f>P19</f>
        <v>720000</v>
      </c>
      <c r="R19" s="653">
        <v>600000</v>
      </c>
      <c r="S19" s="654">
        <f>Q19-R19</f>
        <v>120000</v>
      </c>
      <c r="T19" s="655">
        <f>S19/R19</f>
        <v>0.2</v>
      </c>
    </row>
    <row r="20" spans="1:27" ht="14.45" customHeight="1">
      <c r="A20" s="778"/>
      <c r="B20" s="786"/>
      <c r="C20" s="792"/>
      <c r="D20" s="786"/>
      <c r="E20" s="3283"/>
      <c r="F20" s="1511" t="s">
        <v>44</v>
      </c>
      <c r="G20" s="880">
        <v>30000</v>
      </c>
      <c r="H20" s="691" t="s">
        <v>21</v>
      </c>
      <c r="I20" s="876">
        <v>2</v>
      </c>
      <c r="J20" s="691" t="s">
        <v>21</v>
      </c>
      <c r="K20" s="881">
        <v>12</v>
      </c>
      <c r="L20" s="1510"/>
      <c r="M20" s="881"/>
      <c r="N20" s="701"/>
      <c r="O20" s="701" t="s">
        <v>22</v>
      </c>
      <c r="P20" s="882">
        <f>G20*I20*K20</f>
        <v>720000</v>
      </c>
      <c r="Q20" s="694"/>
      <c r="R20" s="694"/>
      <c r="S20" s="695"/>
      <c r="T20" s="696"/>
      <c r="V20" s="128" t="s">
        <v>2204</v>
      </c>
      <c r="W20" s="1120">
        <f>Q176</f>
        <v>20000</v>
      </c>
      <c r="X20" s="1120">
        <f>R176</f>
        <v>13000</v>
      </c>
      <c r="AA20" s="128">
        <v>600000</v>
      </c>
    </row>
    <row r="21" spans="1:27" ht="14.45" customHeight="1">
      <c r="A21" s="778"/>
      <c r="B21" s="786"/>
      <c r="C21" s="792"/>
      <c r="D21" s="786"/>
      <c r="E21" s="3283"/>
      <c r="F21" s="1507" t="s">
        <v>45</v>
      </c>
      <c r="G21" s="686"/>
      <c r="H21" s="679"/>
      <c r="I21" s="679"/>
      <c r="J21" s="679"/>
      <c r="K21" s="679"/>
      <c r="L21" s="1508"/>
      <c r="M21" s="679"/>
      <c r="N21" s="687"/>
      <c r="O21" s="687"/>
      <c r="P21" s="681">
        <f>P22+P23</f>
        <v>4080000</v>
      </c>
      <c r="Q21" s="653">
        <f>P21</f>
        <v>4080000</v>
      </c>
      <c r="R21" s="653">
        <v>8520000</v>
      </c>
      <c r="S21" s="654">
        <f>Q21-R21</f>
        <v>-4440000</v>
      </c>
      <c r="T21" s="655">
        <f>S21/R21</f>
        <v>-0.52112676056338025</v>
      </c>
      <c r="W21" s="1120">
        <f>W9+W15+W20</f>
        <v>155824000</v>
      </c>
      <c r="X21" s="1120">
        <f>X9+X15+X20</f>
        <v>153106000</v>
      </c>
    </row>
    <row r="22" spans="1:27" ht="14.45" customHeight="1">
      <c r="A22" s="778"/>
      <c r="B22" s="786"/>
      <c r="C22" s="792"/>
      <c r="D22" s="786"/>
      <c r="E22" s="3283"/>
      <c r="F22" s="1511" t="s">
        <v>2205</v>
      </c>
      <c r="G22" s="880">
        <v>200000</v>
      </c>
      <c r="H22" s="691" t="s">
        <v>21</v>
      </c>
      <c r="I22" s="876">
        <v>1</v>
      </c>
      <c r="J22" s="691" t="s">
        <v>21</v>
      </c>
      <c r="K22" s="881">
        <v>12</v>
      </c>
      <c r="L22" s="1510"/>
      <c r="M22" s="881"/>
      <c r="N22" s="701"/>
      <c r="O22" s="701" t="s">
        <v>22</v>
      </c>
      <c r="P22" s="882">
        <f>G22*I22*K22</f>
        <v>2400000</v>
      </c>
      <c r="Q22" s="694"/>
      <c r="R22" s="694"/>
      <c r="S22" s="695"/>
      <c r="T22" s="696"/>
      <c r="AA22" s="128">
        <v>8520000</v>
      </c>
    </row>
    <row r="23" spans="1:27" ht="14.45" customHeight="1">
      <c r="A23" s="778"/>
      <c r="B23" s="786"/>
      <c r="C23" s="792"/>
      <c r="D23" s="786"/>
      <c r="E23" s="3282"/>
      <c r="F23" s="1511" t="s">
        <v>2205</v>
      </c>
      <c r="G23" s="702">
        <v>70000</v>
      </c>
      <c r="H23" s="691" t="s">
        <v>21</v>
      </c>
      <c r="I23" s="876">
        <v>2</v>
      </c>
      <c r="J23" s="691" t="s">
        <v>21</v>
      </c>
      <c r="K23" s="881">
        <v>12</v>
      </c>
      <c r="L23" s="1512"/>
      <c r="M23" s="691"/>
      <c r="N23" s="701"/>
      <c r="O23" s="701" t="s">
        <v>22</v>
      </c>
      <c r="P23" s="1513">
        <f>G23*I23*K23</f>
        <v>1680000</v>
      </c>
      <c r="Q23" s="694"/>
      <c r="R23" s="694"/>
      <c r="S23" s="695"/>
      <c r="T23" s="696"/>
    </row>
    <row r="24" spans="1:27" ht="14.45" customHeight="1">
      <c r="A24" s="778"/>
      <c r="B24" s="786"/>
      <c r="C24" s="792"/>
      <c r="D24" s="786"/>
      <c r="E24" s="3283"/>
      <c r="F24" s="1507" t="s">
        <v>2206</v>
      </c>
      <c r="G24" s="686"/>
      <c r="H24" s="679"/>
      <c r="I24" s="679"/>
      <c r="J24" s="679"/>
      <c r="K24" s="679"/>
      <c r="L24" s="1508"/>
      <c r="M24" s="679"/>
      <c r="N24" s="687"/>
      <c r="O24" s="687"/>
      <c r="P24" s="681">
        <f>SUM(P25:P26)</f>
        <v>800000</v>
      </c>
      <c r="Q24" s="653">
        <f>P24</f>
        <v>800000</v>
      </c>
      <c r="R24" s="653">
        <v>1610000</v>
      </c>
      <c r="S24" s="654">
        <f>Q24-R24</f>
        <v>-810000</v>
      </c>
      <c r="T24" s="655">
        <f>S24/R24</f>
        <v>-0.50310559006211175</v>
      </c>
    </row>
    <row r="25" spans="1:27" ht="14.45" customHeight="1">
      <c r="A25" s="778"/>
      <c r="B25" s="786"/>
      <c r="C25" s="792"/>
      <c r="D25" s="786"/>
      <c r="F25" s="1511" t="s">
        <v>1978</v>
      </c>
      <c r="G25" s="1514">
        <v>250000</v>
      </c>
      <c r="H25" s="691" t="s">
        <v>21</v>
      </c>
      <c r="I25" s="876">
        <v>1</v>
      </c>
      <c r="J25" s="691" t="s">
        <v>21</v>
      </c>
      <c r="K25" s="881">
        <v>2</v>
      </c>
      <c r="L25" s="1512"/>
      <c r="M25" s="1515"/>
      <c r="N25" s="701"/>
      <c r="O25" s="701" t="s">
        <v>22</v>
      </c>
      <c r="P25" s="882">
        <f>G25*I25*K25</f>
        <v>500000</v>
      </c>
      <c r="Q25" s="694"/>
      <c r="R25" s="694"/>
      <c r="S25" s="695"/>
      <c r="T25" s="696"/>
      <c r="AA25" s="128">
        <v>1610000</v>
      </c>
    </row>
    <row r="26" spans="1:27" ht="14.45" customHeight="1">
      <c r="A26" s="778"/>
      <c r="B26" s="786"/>
      <c r="C26" s="792"/>
      <c r="D26" s="786"/>
      <c r="E26" s="3282"/>
      <c r="F26" s="1511" t="s">
        <v>2207</v>
      </c>
      <c r="G26" s="1514">
        <v>150000</v>
      </c>
      <c r="H26" s="691" t="s">
        <v>21</v>
      </c>
      <c r="I26" s="876">
        <v>1</v>
      </c>
      <c r="J26" s="691" t="s">
        <v>21</v>
      </c>
      <c r="K26" s="881">
        <v>2</v>
      </c>
      <c r="L26" s="1512"/>
      <c r="M26" s="1515"/>
      <c r="N26" s="701"/>
      <c r="O26" s="701" t="s">
        <v>22</v>
      </c>
      <c r="P26" s="882">
        <f>G26*I26*K26</f>
        <v>300000</v>
      </c>
      <c r="Q26" s="694"/>
      <c r="R26" s="694"/>
      <c r="S26" s="695"/>
      <c r="T26" s="696"/>
    </row>
    <row r="27" spans="1:27" ht="14.45" customHeight="1">
      <c r="A27" s="778"/>
      <c r="B27" s="786"/>
      <c r="C27" s="792"/>
      <c r="D27" s="786"/>
      <c r="E27" s="3637" t="s">
        <v>3002</v>
      </c>
      <c r="F27" s="3638"/>
      <c r="G27" s="3638"/>
      <c r="H27" s="3638"/>
      <c r="I27" s="3638"/>
      <c r="J27" s="3638"/>
      <c r="K27" s="3638"/>
      <c r="L27" s="3638"/>
      <c r="M27" s="3638"/>
      <c r="N27" s="3638"/>
      <c r="O27" s="3638"/>
      <c r="P27" s="3639"/>
      <c r="Q27" s="645">
        <f>SUM(P28)</f>
        <v>4817000</v>
      </c>
      <c r="R27" s="645">
        <v>3150000</v>
      </c>
      <c r="S27" s="646">
        <f>Q27-R27</f>
        <v>1667000</v>
      </c>
      <c r="T27" s="647">
        <f>S27/R27</f>
        <v>0.52920634920634924</v>
      </c>
    </row>
    <row r="28" spans="1:27" ht="14.45" customHeight="1">
      <c r="A28" s="778"/>
      <c r="B28" s="786"/>
      <c r="C28" s="792"/>
      <c r="D28" s="786"/>
      <c r="F28" s="1507" t="s">
        <v>52</v>
      </c>
      <c r="G28" s="686"/>
      <c r="H28" s="679"/>
      <c r="I28" s="679"/>
      <c r="J28" s="679"/>
      <c r="K28" s="679"/>
      <c r="L28" s="1508"/>
      <c r="M28" s="679"/>
      <c r="N28" s="687"/>
      <c r="O28" s="687"/>
      <c r="P28" s="681">
        <f>SUM(P29:P29)</f>
        <v>4817000</v>
      </c>
      <c r="Q28" s="653">
        <f>P28</f>
        <v>4817000</v>
      </c>
      <c r="R28" s="653">
        <v>3150000</v>
      </c>
      <c r="S28" s="654">
        <f>Q28-R28</f>
        <v>1667000</v>
      </c>
      <c r="T28" s="655">
        <f>S28/R28</f>
        <v>0.52920634920634924</v>
      </c>
      <c r="AA28" s="128">
        <v>3150000</v>
      </c>
    </row>
    <row r="29" spans="1:27" ht="14.45" customHeight="1">
      <c r="A29" s="778"/>
      <c r="B29" s="786"/>
      <c r="C29" s="792"/>
      <c r="D29" s="786"/>
      <c r="F29" s="1429" t="s">
        <v>53</v>
      </c>
      <c r="G29" s="1516">
        <v>57800000</v>
      </c>
      <c r="H29" s="1517" t="s">
        <v>21</v>
      </c>
      <c r="I29" s="3793" t="s">
        <v>1803</v>
      </c>
      <c r="J29" s="3793"/>
      <c r="K29" s="1518"/>
      <c r="L29" s="1519"/>
      <c r="M29" s="1520"/>
      <c r="N29" s="1521"/>
      <c r="O29" s="1436" t="s">
        <v>2208</v>
      </c>
      <c r="P29" s="1437">
        <f>ROUNDUP(G29/12,-3)</f>
        <v>4817000</v>
      </c>
      <c r="Q29" s="694"/>
      <c r="R29" s="694"/>
      <c r="S29" s="695"/>
      <c r="T29" s="696"/>
      <c r="AA29" s="128">
        <v>3150000</v>
      </c>
    </row>
    <row r="30" spans="1:27" ht="14.45" customHeight="1">
      <c r="A30" s="778"/>
      <c r="B30" s="786"/>
      <c r="C30" s="792"/>
      <c r="D30" s="635" t="s">
        <v>2209</v>
      </c>
      <c r="E30" s="2229"/>
      <c r="F30" s="1269"/>
      <c r="G30" s="636"/>
      <c r="H30" s="635"/>
      <c r="I30" s="635"/>
      <c r="J30" s="635"/>
      <c r="K30" s="635"/>
      <c r="L30" s="637"/>
      <c r="M30" s="637"/>
      <c r="N30" s="637"/>
      <c r="O30" s="637"/>
      <c r="P30" s="635"/>
      <c r="Q30" s="638">
        <f>SUM(Q31,Q38,Q41,Q46,Q51,Q54,Q59,Q64,Q70,Q76)</f>
        <v>22207000</v>
      </c>
      <c r="R30" s="638">
        <f>R31+R38+R41+R46+R51+R54+R59+R64+R70+R76</f>
        <v>19247000</v>
      </c>
      <c r="S30" s="793">
        <f>Q30-R30</f>
        <v>2960000</v>
      </c>
      <c r="T30" s="873">
        <f>S30/R30</f>
        <v>0.15379020107029667</v>
      </c>
    </row>
    <row r="31" spans="1:27" ht="14.45" customHeight="1">
      <c r="A31" s="778"/>
      <c r="B31" s="786"/>
      <c r="C31" s="792"/>
      <c r="D31" s="786"/>
      <c r="E31" s="3637" t="s">
        <v>3053</v>
      </c>
      <c r="F31" s="3638"/>
      <c r="G31" s="3638"/>
      <c r="H31" s="3638"/>
      <c r="I31" s="3638"/>
      <c r="J31" s="3638"/>
      <c r="K31" s="3638"/>
      <c r="L31" s="3638"/>
      <c r="M31" s="3638"/>
      <c r="N31" s="3638"/>
      <c r="O31" s="3638"/>
      <c r="P31" s="3639"/>
      <c r="Q31" s="645">
        <f>P32</f>
        <v>5760000</v>
      </c>
      <c r="R31" s="645">
        <v>4466000</v>
      </c>
      <c r="S31" s="646">
        <f>Q31-R31</f>
        <v>1294000</v>
      </c>
      <c r="T31" s="647">
        <f>S31/R31</f>
        <v>0.28974473802060008</v>
      </c>
      <c r="AA31" s="128">
        <v>19247200</v>
      </c>
    </row>
    <row r="32" spans="1:27" ht="14.45" customHeight="1">
      <c r="A32" s="778"/>
      <c r="B32" s="786"/>
      <c r="C32" s="792"/>
      <c r="D32" s="786"/>
      <c r="F32" s="1507" t="s">
        <v>56</v>
      </c>
      <c r="G32" s="686"/>
      <c r="H32" s="679"/>
      <c r="I32" s="679"/>
      <c r="J32" s="679"/>
      <c r="K32" s="679"/>
      <c r="L32" s="1508"/>
      <c r="M32" s="679"/>
      <c r="N32" s="687"/>
      <c r="O32" s="687"/>
      <c r="P32" s="681">
        <f>SUM(P33:P37)</f>
        <v>5760000</v>
      </c>
      <c r="Q32" s="653">
        <f>P32</f>
        <v>5760000</v>
      </c>
      <c r="R32" s="653">
        <v>4466000</v>
      </c>
      <c r="S32" s="654">
        <f>Q32-R32</f>
        <v>1294000</v>
      </c>
      <c r="T32" s="655">
        <f>S32/R32</f>
        <v>0.28974473802060008</v>
      </c>
      <c r="AA32" s="128">
        <v>4466000</v>
      </c>
    </row>
    <row r="33" spans="1:27" ht="14.45" customHeight="1">
      <c r="A33" s="778"/>
      <c r="B33" s="786"/>
      <c r="C33" s="792"/>
      <c r="D33" s="786"/>
      <c r="F33" s="1522" t="s">
        <v>2210</v>
      </c>
      <c r="G33" s="1516">
        <f>G29</f>
        <v>57800000</v>
      </c>
      <c r="H33" s="1523" t="s">
        <v>2211</v>
      </c>
      <c r="I33" s="3787">
        <v>4.4999999999999998E-2</v>
      </c>
      <c r="J33" s="3787"/>
      <c r="K33" s="1524"/>
      <c r="L33" s="1525"/>
      <c r="M33" s="1524"/>
      <c r="N33" s="1526"/>
      <c r="O33" s="1526" t="s">
        <v>2212</v>
      </c>
      <c r="P33" s="1527">
        <f>ROUNDUP(G33*I33,-3)</f>
        <v>2601000</v>
      </c>
      <c r="Q33" s="694"/>
      <c r="R33" s="694"/>
      <c r="S33" s="695"/>
      <c r="T33" s="696"/>
      <c r="AA33" s="128">
        <v>4466000</v>
      </c>
    </row>
    <row r="34" spans="1:27" ht="14.45" customHeight="1">
      <c r="A34" s="778"/>
      <c r="B34" s="786"/>
      <c r="C34" s="792"/>
      <c r="D34" s="786"/>
      <c r="F34" s="1528" t="s">
        <v>2213</v>
      </c>
      <c r="G34" s="1516">
        <f>G33</f>
        <v>57800000</v>
      </c>
      <c r="H34" s="1523" t="s">
        <v>2211</v>
      </c>
      <c r="I34" s="3787">
        <v>3.1199999999999999E-2</v>
      </c>
      <c r="J34" s="3787"/>
      <c r="K34" s="1524"/>
      <c r="L34" s="1525"/>
      <c r="M34" s="1524"/>
      <c r="N34" s="1526"/>
      <c r="O34" s="1526" t="s">
        <v>2212</v>
      </c>
      <c r="P34" s="1527">
        <f>ROUNDUP(G34*I34,-3)</f>
        <v>1804000</v>
      </c>
      <c r="Q34" s="694"/>
      <c r="R34" s="694"/>
      <c r="S34" s="695"/>
      <c r="T34" s="696"/>
    </row>
    <row r="35" spans="1:27" ht="14.45" customHeight="1">
      <c r="A35" s="778"/>
      <c r="B35" s="786"/>
      <c r="C35" s="792"/>
      <c r="D35" s="786"/>
      <c r="F35" s="1528" t="s">
        <v>2214</v>
      </c>
      <c r="G35" s="1516">
        <f>P34</f>
        <v>1804000</v>
      </c>
      <c r="H35" s="1523" t="s">
        <v>2211</v>
      </c>
      <c r="I35" s="3787">
        <v>7.3800000000000004E-2</v>
      </c>
      <c r="J35" s="3787"/>
      <c r="K35" s="1524"/>
      <c r="L35" s="1525"/>
      <c r="M35" s="1524"/>
      <c r="N35" s="1526"/>
      <c r="O35" s="1526" t="s">
        <v>2212</v>
      </c>
      <c r="P35" s="1527">
        <f>ROUNDUP(G35*I35,-3)</f>
        <v>134000</v>
      </c>
      <c r="Q35" s="694"/>
      <c r="R35" s="694"/>
      <c r="S35" s="695"/>
      <c r="T35" s="696"/>
      <c r="V35" s="1120">
        <f>Q8+Q30+Q79+Q84</f>
        <v>116324000</v>
      </c>
    </row>
    <row r="36" spans="1:27" ht="14.45" customHeight="1">
      <c r="A36" s="778"/>
      <c r="B36" s="786"/>
      <c r="C36" s="792"/>
      <c r="D36" s="786"/>
      <c r="E36" s="3282"/>
      <c r="F36" s="1528" t="s">
        <v>2215</v>
      </c>
      <c r="G36" s="1516">
        <v>57800000</v>
      </c>
      <c r="H36" s="1523" t="s">
        <v>2211</v>
      </c>
      <c r="I36" s="3787">
        <v>8.9999999999999993E-3</v>
      </c>
      <c r="J36" s="3787"/>
      <c r="K36" s="1524"/>
      <c r="L36" s="1525"/>
      <c r="M36" s="1524"/>
      <c r="N36" s="1526"/>
      <c r="O36" s="1526" t="s">
        <v>2212</v>
      </c>
      <c r="P36" s="1527">
        <f>ROUNDUP(G36*I36,-3)</f>
        <v>521000</v>
      </c>
      <c r="Q36" s="694"/>
      <c r="R36" s="694"/>
      <c r="S36" s="695"/>
      <c r="T36" s="696"/>
    </row>
    <row r="37" spans="1:27" ht="14.45" customHeight="1">
      <c r="A37" s="778"/>
      <c r="B37" s="786"/>
      <c r="C37" s="792"/>
      <c r="D37" s="786"/>
      <c r="E37" s="3281"/>
      <c r="F37" s="2138" t="s">
        <v>2216</v>
      </c>
      <c r="G37" s="2025">
        <v>57800000</v>
      </c>
      <c r="H37" s="2153" t="s">
        <v>2211</v>
      </c>
      <c r="I37" s="3804">
        <v>1.21E-2</v>
      </c>
      <c r="J37" s="3804"/>
      <c r="K37" s="2155"/>
      <c r="L37" s="2029"/>
      <c r="M37" s="2028"/>
      <c r="N37" s="823"/>
      <c r="O37" s="823" t="s">
        <v>2212</v>
      </c>
      <c r="P37" s="1533">
        <f>ROUNDUP(G37*I37,-3)</f>
        <v>700000</v>
      </c>
      <c r="Q37" s="712"/>
      <c r="R37" s="712"/>
      <c r="S37" s="713"/>
      <c r="T37" s="714"/>
    </row>
    <row r="38" spans="1:27" s="1137" customFormat="1" ht="15" customHeight="1">
      <c r="A38" s="778"/>
      <c r="B38" s="786"/>
      <c r="C38" s="792"/>
      <c r="D38" s="786"/>
      <c r="E38" s="3637" t="s">
        <v>213</v>
      </c>
      <c r="F38" s="3638"/>
      <c r="G38" s="3638"/>
      <c r="H38" s="3638"/>
      <c r="I38" s="3638"/>
      <c r="J38" s="3638"/>
      <c r="K38" s="3638"/>
      <c r="L38" s="3638"/>
      <c r="M38" s="3638"/>
      <c r="N38" s="3638"/>
      <c r="O38" s="3638"/>
      <c r="P38" s="3639"/>
      <c r="Q38" s="1538">
        <f>P39</f>
        <v>1200000</v>
      </c>
      <c r="R38" s="1538">
        <v>0</v>
      </c>
      <c r="S38" s="1539">
        <f>Q38-R38</f>
        <v>1200000</v>
      </c>
      <c r="T38" s="1540"/>
    </row>
    <row r="39" spans="1:27" s="1137" customFormat="1" ht="15" customHeight="1">
      <c r="A39" s="1482"/>
      <c r="B39" s="1296"/>
      <c r="C39" s="1136"/>
      <c r="D39" s="1296"/>
      <c r="E39" s="3526"/>
      <c r="F39" s="3527" t="s">
        <v>66</v>
      </c>
      <c r="G39" s="3528"/>
      <c r="H39" s="3529"/>
      <c r="I39" s="3529"/>
      <c r="J39" s="3529"/>
      <c r="K39" s="3529"/>
      <c r="L39" s="3530"/>
      <c r="M39" s="3529"/>
      <c r="N39" s="3531"/>
      <c r="O39" s="3531"/>
      <c r="P39" s="3532">
        <f>SUM(P40)</f>
        <v>1200000</v>
      </c>
      <c r="Q39" s="683">
        <f>P39</f>
        <v>1200000</v>
      </c>
      <c r="R39" s="3533">
        <v>0</v>
      </c>
      <c r="S39" s="1489">
        <f>Q39-R39</f>
        <v>1200000</v>
      </c>
      <c r="T39" s="1490"/>
      <c r="AA39" s="1137">
        <v>0</v>
      </c>
    </row>
    <row r="40" spans="1:27" s="1137" customFormat="1" ht="15" customHeight="1">
      <c r="A40" s="1166"/>
      <c r="B40" s="1139"/>
      <c r="C40" s="1168"/>
      <c r="D40" s="1139"/>
      <c r="E40" s="3310"/>
      <c r="F40" s="1511" t="s">
        <v>67</v>
      </c>
      <c r="G40" s="880">
        <v>50000</v>
      </c>
      <c r="H40" s="691" t="s">
        <v>21</v>
      </c>
      <c r="I40" s="876">
        <v>2</v>
      </c>
      <c r="J40" s="691" t="s">
        <v>21</v>
      </c>
      <c r="K40" s="1529">
        <v>12</v>
      </c>
      <c r="L40" s="1510"/>
      <c r="M40" s="881"/>
      <c r="N40" s="701"/>
      <c r="O40" s="701" t="s">
        <v>22</v>
      </c>
      <c r="P40" s="882">
        <f>ROUNDUP(G40*I40*K40,-3)</f>
        <v>1200000</v>
      </c>
      <c r="Q40" s="694"/>
      <c r="R40" s="694"/>
      <c r="S40" s="695"/>
      <c r="T40" s="696"/>
      <c r="AA40" s="1137">
        <v>0</v>
      </c>
    </row>
    <row r="41" spans="1:27" ht="14.45" customHeight="1">
      <c r="A41" s="778"/>
      <c r="B41" s="786"/>
      <c r="C41" s="792"/>
      <c r="D41" s="786"/>
      <c r="E41" s="3637" t="s">
        <v>3059</v>
      </c>
      <c r="F41" s="3638"/>
      <c r="G41" s="3638"/>
      <c r="H41" s="3638"/>
      <c r="I41" s="3638"/>
      <c r="J41" s="3638"/>
      <c r="K41" s="3638"/>
      <c r="L41" s="3638"/>
      <c r="M41" s="3638"/>
      <c r="N41" s="3638"/>
      <c r="O41" s="3638"/>
      <c r="P41" s="3639"/>
      <c r="Q41" s="645">
        <f>P42+P44</f>
        <v>756000</v>
      </c>
      <c r="R41" s="645">
        <v>840000</v>
      </c>
      <c r="S41" s="646">
        <f>Q41-R41</f>
        <v>-84000</v>
      </c>
      <c r="T41" s="647">
        <f>S41/R41</f>
        <v>-0.1</v>
      </c>
    </row>
    <row r="42" spans="1:27" ht="14.45" customHeight="1">
      <c r="A42" s="778"/>
      <c r="B42" s="786"/>
      <c r="C42" s="792"/>
      <c r="D42" s="786"/>
      <c r="E42" s="786"/>
      <c r="F42" s="1507" t="s">
        <v>69</v>
      </c>
      <c r="G42" s="686"/>
      <c r="H42" s="679"/>
      <c r="I42" s="679"/>
      <c r="J42" s="679"/>
      <c r="K42" s="679"/>
      <c r="L42" s="1508"/>
      <c r="M42" s="679"/>
      <c r="N42" s="687"/>
      <c r="O42" s="687"/>
      <c r="P42" s="681">
        <f>P43</f>
        <v>36000</v>
      </c>
      <c r="Q42" s="653">
        <f>P42</f>
        <v>36000</v>
      </c>
      <c r="R42" s="653">
        <v>120000</v>
      </c>
      <c r="S42" s="654">
        <f>Q42-R42</f>
        <v>-84000</v>
      </c>
      <c r="T42" s="655">
        <f>S42/R42</f>
        <v>-0.7</v>
      </c>
      <c r="AA42" s="128">
        <v>840000</v>
      </c>
    </row>
    <row r="43" spans="1:27" ht="14.45" customHeight="1">
      <c r="A43" s="778"/>
      <c r="B43" s="786"/>
      <c r="C43" s="792"/>
      <c r="D43" s="786"/>
      <c r="E43" s="3311"/>
      <c r="F43" s="1511" t="s">
        <v>70</v>
      </c>
      <c r="G43" s="880">
        <v>3000</v>
      </c>
      <c r="H43" s="691" t="s">
        <v>21</v>
      </c>
      <c r="I43" s="1530">
        <v>12</v>
      </c>
      <c r="J43" s="691"/>
      <c r="K43" s="1530"/>
      <c r="L43" s="1510"/>
      <c r="M43" s="881"/>
      <c r="N43" s="701"/>
      <c r="O43" s="701" t="s">
        <v>22</v>
      </c>
      <c r="P43" s="1527">
        <f>ROUNDUP(G43*I43,-3)</f>
        <v>36000</v>
      </c>
      <c r="Q43" s="694"/>
      <c r="R43" s="694"/>
      <c r="S43" s="695"/>
      <c r="T43" s="696"/>
      <c r="AA43" s="128">
        <v>120000</v>
      </c>
    </row>
    <row r="44" spans="1:27" ht="14.45" customHeight="1">
      <c r="A44" s="778"/>
      <c r="B44" s="786"/>
      <c r="C44" s="792"/>
      <c r="D44" s="786"/>
      <c r="E44" s="786"/>
      <c r="F44" s="1507" t="s">
        <v>71</v>
      </c>
      <c r="G44" s="686"/>
      <c r="H44" s="679"/>
      <c r="I44" s="679"/>
      <c r="J44" s="679"/>
      <c r="K44" s="679"/>
      <c r="L44" s="1508"/>
      <c r="M44" s="679"/>
      <c r="N44" s="687"/>
      <c r="O44" s="687"/>
      <c r="P44" s="681">
        <f>SUM(P45)</f>
        <v>720000</v>
      </c>
      <c r="Q44" s="653">
        <f>P44</f>
        <v>720000</v>
      </c>
      <c r="R44" s="653">
        <v>720000</v>
      </c>
      <c r="S44" s="654">
        <f>Q44-R44</f>
        <v>0</v>
      </c>
      <c r="T44" s="655">
        <f>S44/R44</f>
        <v>0</v>
      </c>
    </row>
    <row r="45" spans="1:27" ht="14.45" customHeight="1">
      <c r="A45" s="778"/>
      <c r="B45" s="786"/>
      <c r="C45" s="792"/>
      <c r="D45" s="786"/>
      <c r="E45" s="3312"/>
      <c r="F45" s="1531" t="s">
        <v>72</v>
      </c>
      <c r="G45" s="893">
        <v>60000</v>
      </c>
      <c r="H45" s="709" t="s">
        <v>21</v>
      </c>
      <c r="I45" s="1529">
        <v>12</v>
      </c>
      <c r="J45" s="709"/>
      <c r="K45" s="1529"/>
      <c r="L45" s="1532"/>
      <c r="M45" s="895"/>
      <c r="N45" s="710"/>
      <c r="O45" s="710" t="s">
        <v>22</v>
      </c>
      <c r="P45" s="1533">
        <f>ROUNDUP(G45*I45,-3)</f>
        <v>720000</v>
      </c>
      <c r="Q45" s="712"/>
      <c r="R45" s="712"/>
      <c r="S45" s="713"/>
      <c r="T45" s="696"/>
      <c r="AA45" s="128">
        <v>720000</v>
      </c>
    </row>
    <row r="46" spans="1:27" ht="14.45" customHeight="1">
      <c r="A46" s="778"/>
      <c r="B46" s="786"/>
      <c r="C46" s="792"/>
      <c r="D46" s="786"/>
      <c r="E46" s="3637" t="s">
        <v>76</v>
      </c>
      <c r="F46" s="3638"/>
      <c r="G46" s="3638"/>
      <c r="H46" s="3638"/>
      <c r="I46" s="3638"/>
      <c r="J46" s="3638"/>
      <c r="K46" s="3638"/>
      <c r="L46" s="3638"/>
      <c r="M46" s="3638"/>
      <c r="N46" s="3638"/>
      <c r="O46" s="3638"/>
      <c r="P46" s="3639"/>
      <c r="Q46" s="1049">
        <f>P47+P49</f>
        <v>2160000</v>
      </c>
      <c r="R46" s="1049">
        <v>2538000</v>
      </c>
      <c r="S46" s="1050">
        <f>Q46-R46</f>
        <v>-378000</v>
      </c>
      <c r="T46" s="647">
        <f>S46/R46</f>
        <v>-0.14893617021276595</v>
      </c>
    </row>
    <row r="47" spans="1:27" ht="14.45" customHeight="1">
      <c r="A47" s="778"/>
      <c r="B47" s="786"/>
      <c r="C47" s="792"/>
      <c r="D47" s="786"/>
      <c r="F47" s="1507" t="s">
        <v>77</v>
      </c>
      <c r="G47" s="686"/>
      <c r="H47" s="679"/>
      <c r="I47" s="679"/>
      <c r="J47" s="679"/>
      <c r="K47" s="679"/>
      <c r="L47" s="1508"/>
      <c r="M47" s="679"/>
      <c r="N47" s="687"/>
      <c r="O47" s="687"/>
      <c r="P47" s="681">
        <f>P48</f>
        <v>1800000</v>
      </c>
      <c r="Q47" s="653">
        <f>P47</f>
        <v>1800000</v>
      </c>
      <c r="R47" s="653">
        <v>2538000</v>
      </c>
      <c r="S47" s="654">
        <f>Q47-R47</f>
        <v>-738000</v>
      </c>
      <c r="T47" s="655">
        <f>S47/R47</f>
        <v>-0.29078014184397161</v>
      </c>
      <c r="AA47" s="128">
        <v>2538000</v>
      </c>
    </row>
    <row r="48" spans="1:27" ht="14.45" customHeight="1">
      <c r="A48" s="778"/>
      <c r="B48" s="786"/>
      <c r="C48" s="792"/>
      <c r="D48" s="786"/>
      <c r="E48" s="786"/>
      <c r="F48" s="1511" t="s">
        <v>2217</v>
      </c>
      <c r="G48" s="880">
        <v>150000</v>
      </c>
      <c r="H48" s="691" t="s">
        <v>21</v>
      </c>
      <c r="I48" s="1530">
        <v>12</v>
      </c>
      <c r="J48" s="691"/>
      <c r="K48" s="1530"/>
      <c r="L48" s="1510"/>
      <c r="M48" s="881"/>
      <c r="N48" s="701"/>
      <c r="O48" s="701" t="s">
        <v>22</v>
      </c>
      <c r="P48" s="1527">
        <f>ROUNDUP(G48*I48,-3)</f>
        <v>1800000</v>
      </c>
      <c r="Q48" s="694"/>
      <c r="R48" s="694"/>
      <c r="S48" s="695"/>
      <c r="T48" s="696"/>
      <c r="AA48" s="128">
        <v>2538000</v>
      </c>
    </row>
    <row r="49" spans="1:27" ht="14.45" customHeight="1">
      <c r="A49" s="778"/>
      <c r="B49" s="786"/>
      <c r="C49" s="792"/>
      <c r="D49" s="786"/>
      <c r="E49" s="786"/>
      <c r="F49" s="1507" t="s">
        <v>81</v>
      </c>
      <c r="G49" s="686"/>
      <c r="H49" s="679"/>
      <c r="I49" s="679"/>
      <c r="J49" s="679"/>
      <c r="K49" s="679"/>
      <c r="L49" s="1508"/>
      <c r="M49" s="679"/>
      <c r="N49" s="687"/>
      <c r="O49" s="687"/>
      <c r="P49" s="681">
        <f>SUM(P50)</f>
        <v>360000</v>
      </c>
      <c r="Q49" s="653">
        <f>P49</f>
        <v>360000</v>
      </c>
      <c r="R49" s="653">
        <v>0</v>
      </c>
      <c r="S49" s="654">
        <f>Q49-R49</f>
        <v>360000</v>
      </c>
      <c r="T49" s="655"/>
    </row>
    <row r="50" spans="1:27" ht="14.45" customHeight="1">
      <c r="A50" s="778"/>
      <c r="B50" s="786"/>
      <c r="C50" s="792"/>
      <c r="D50" s="786"/>
      <c r="E50" s="3312"/>
      <c r="F50" s="1531" t="s">
        <v>2945</v>
      </c>
      <c r="G50" s="1534">
        <v>30000</v>
      </c>
      <c r="H50" s="1136" t="s">
        <v>21</v>
      </c>
      <c r="I50" s="1529">
        <v>12</v>
      </c>
      <c r="J50" s="1136"/>
      <c r="K50" s="1529"/>
      <c r="L50" s="1535"/>
      <c r="M50" s="1536"/>
      <c r="N50" s="1537"/>
      <c r="O50" s="1537" t="s">
        <v>22</v>
      </c>
      <c r="P50" s="1533">
        <f>ROUNDUP(G50*I50,-3)</f>
        <v>360000</v>
      </c>
      <c r="Q50" s="712"/>
      <c r="R50" s="712"/>
      <c r="S50" s="713"/>
      <c r="T50" s="714"/>
      <c r="AA50" s="128">
        <v>0</v>
      </c>
    </row>
    <row r="51" spans="1:27" s="1137" customFormat="1" ht="15" customHeight="1">
      <c r="A51" s="778"/>
      <c r="B51" s="786"/>
      <c r="C51" s="792"/>
      <c r="D51" s="786"/>
      <c r="E51" s="3637" t="s">
        <v>191</v>
      </c>
      <c r="F51" s="3638"/>
      <c r="G51" s="3638"/>
      <c r="H51" s="3638"/>
      <c r="I51" s="3638"/>
      <c r="J51" s="3638"/>
      <c r="K51" s="3638"/>
      <c r="L51" s="3638"/>
      <c r="M51" s="3638"/>
      <c r="N51" s="3638"/>
      <c r="O51" s="3638"/>
      <c r="P51" s="3639"/>
      <c r="Q51" s="1538">
        <f>P52</f>
        <v>360000</v>
      </c>
      <c r="R51" s="1538">
        <v>0</v>
      </c>
      <c r="S51" s="1539">
        <f>Q51-R51</f>
        <v>360000</v>
      </c>
      <c r="T51" s="1540"/>
    </row>
    <row r="52" spans="1:27" s="1137" customFormat="1" ht="15" customHeight="1">
      <c r="A52" s="1166"/>
      <c r="B52" s="1139"/>
      <c r="C52" s="1168"/>
      <c r="D52" s="1139"/>
      <c r="E52" s="1139"/>
      <c r="F52" s="1507" t="s">
        <v>88</v>
      </c>
      <c r="G52" s="686"/>
      <c r="H52" s="679"/>
      <c r="I52" s="679"/>
      <c r="J52" s="679"/>
      <c r="K52" s="679"/>
      <c r="L52" s="1508"/>
      <c r="M52" s="679"/>
      <c r="N52" s="687"/>
      <c r="O52" s="687"/>
      <c r="P52" s="681">
        <f>SUM(P53)</f>
        <v>360000</v>
      </c>
      <c r="Q52" s="653">
        <f>P52</f>
        <v>360000</v>
      </c>
      <c r="R52" s="653">
        <v>0</v>
      </c>
      <c r="S52" s="654">
        <f>Q52-R52</f>
        <v>360000</v>
      </c>
      <c r="T52" s="655"/>
      <c r="AA52" s="1137">
        <v>0</v>
      </c>
    </row>
    <row r="53" spans="1:27" s="1137" customFormat="1" ht="15" customHeight="1">
      <c r="A53" s="1166"/>
      <c r="B53" s="1139"/>
      <c r="C53" s="1168"/>
      <c r="D53" s="1139"/>
      <c r="E53" s="3313"/>
      <c r="F53" s="1531" t="s">
        <v>2218</v>
      </c>
      <c r="G53" s="893">
        <v>30000</v>
      </c>
      <c r="H53" s="709" t="s">
        <v>21</v>
      </c>
      <c r="I53" s="1529">
        <v>12</v>
      </c>
      <c r="J53" s="709"/>
      <c r="K53" s="1529"/>
      <c r="L53" s="1532"/>
      <c r="M53" s="895"/>
      <c r="N53" s="710"/>
      <c r="O53" s="710" t="s">
        <v>22</v>
      </c>
      <c r="P53" s="1533">
        <f>ROUNDUP(G53*I53,-3)</f>
        <v>360000</v>
      </c>
      <c r="Q53" s="712"/>
      <c r="R53" s="712"/>
      <c r="S53" s="713"/>
      <c r="T53" s="696"/>
      <c r="AA53" s="1137">
        <v>0</v>
      </c>
    </row>
    <row r="54" spans="1:27" ht="14.45" customHeight="1">
      <c r="A54" s="778"/>
      <c r="B54" s="786"/>
      <c r="C54" s="792"/>
      <c r="D54" s="786"/>
      <c r="E54" s="3637" t="s">
        <v>3150</v>
      </c>
      <c r="F54" s="3638"/>
      <c r="G54" s="3638"/>
      <c r="H54" s="3638"/>
      <c r="I54" s="3638"/>
      <c r="J54" s="3638"/>
      <c r="K54" s="3638"/>
      <c r="L54" s="3638"/>
      <c r="M54" s="3638"/>
      <c r="N54" s="3638"/>
      <c r="O54" s="3638"/>
      <c r="P54" s="3639"/>
      <c r="Q54" s="1049">
        <f>P55</f>
        <v>1572000</v>
      </c>
      <c r="R54" s="1049">
        <v>3331000</v>
      </c>
      <c r="S54" s="1050">
        <f>Q54-R54</f>
        <v>-1759000</v>
      </c>
      <c r="T54" s="647">
        <f>S54/R54</f>
        <v>-0.52806964875412787</v>
      </c>
    </row>
    <row r="55" spans="1:27" ht="14.45" customHeight="1">
      <c r="A55" s="778"/>
      <c r="B55" s="786"/>
      <c r="C55" s="792"/>
      <c r="D55" s="786"/>
      <c r="F55" s="1507" t="s">
        <v>93</v>
      </c>
      <c r="G55" s="686"/>
      <c r="H55" s="679"/>
      <c r="I55" s="679"/>
      <c r="J55" s="679"/>
      <c r="K55" s="679"/>
      <c r="L55" s="1508"/>
      <c r="M55" s="679"/>
      <c r="N55" s="687"/>
      <c r="O55" s="687"/>
      <c r="P55" s="681">
        <f>SUM(P56:P58)</f>
        <v>1572000</v>
      </c>
      <c r="Q55" s="653">
        <f>P55</f>
        <v>1572000</v>
      </c>
      <c r="R55" s="653">
        <v>3331000</v>
      </c>
      <c r="S55" s="654">
        <f>Q55-R55</f>
        <v>-1759000</v>
      </c>
      <c r="T55" s="655">
        <f>S55/R55</f>
        <v>-0.52806964875412787</v>
      </c>
      <c r="AA55" s="128">
        <v>3331200</v>
      </c>
    </row>
    <row r="56" spans="1:27" ht="14.45" customHeight="1">
      <c r="A56" s="778"/>
      <c r="B56" s="786"/>
      <c r="C56" s="792"/>
      <c r="D56" s="786"/>
      <c r="E56" s="3282"/>
      <c r="F56" s="1511" t="s">
        <v>2219</v>
      </c>
      <c r="G56" s="880">
        <v>50000</v>
      </c>
      <c r="H56" s="691" t="s">
        <v>21</v>
      </c>
      <c r="I56" s="1530">
        <v>12</v>
      </c>
      <c r="J56" s="691"/>
      <c r="K56" s="1530"/>
      <c r="L56" s="1510"/>
      <c r="M56" s="881"/>
      <c r="N56" s="701"/>
      <c r="O56" s="701" t="s">
        <v>22</v>
      </c>
      <c r="P56" s="1527">
        <f>ROUNDUP(G56*I56,-3)</f>
        <v>600000</v>
      </c>
      <c r="Q56" s="694"/>
      <c r="R56" s="694"/>
      <c r="S56" s="695"/>
      <c r="T56" s="696"/>
      <c r="AA56" s="128">
        <v>3331200</v>
      </c>
    </row>
    <row r="57" spans="1:27" ht="14.45" customHeight="1">
      <c r="A57" s="778"/>
      <c r="B57" s="786"/>
      <c r="C57" s="792"/>
      <c r="D57" s="786"/>
      <c r="E57" s="3283"/>
      <c r="F57" s="1509" t="s">
        <v>2220</v>
      </c>
      <c r="G57" s="702">
        <v>11000</v>
      </c>
      <c r="H57" s="691" t="s">
        <v>21</v>
      </c>
      <c r="I57" s="1530">
        <v>12</v>
      </c>
      <c r="J57" s="691"/>
      <c r="K57" s="1530"/>
      <c r="L57" s="1510"/>
      <c r="M57" s="881"/>
      <c r="N57" s="701"/>
      <c r="O57" s="701" t="s">
        <v>22</v>
      </c>
      <c r="P57" s="1527">
        <f>ROUNDUP(G57*I57,-3)</f>
        <v>132000</v>
      </c>
      <c r="Q57" s="694"/>
      <c r="R57" s="694"/>
      <c r="S57" s="695"/>
      <c r="T57" s="696"/>
    </row>
    <row r="58" spans="1:27" ht="14.45" customHeight="1">
      <c r="A58" s="778"/>
      <c r="B58" s="786"/>
      <c r="C58" s="792"/>
      <c r="D58" s="786"/>
      <c r="E58" s="3283"/>
      <c r="F58" s="1509" t="s">
        <v>2221</v>
      </c>
      <c r="G58" s="702">
        <v>70000</v>
      </c>
      <c r="H58" s="691" t="s">
        <v>21</v>
      </c>
      <c r="I58" s="1530">
        <v>12</v>
      </c>
      <c r="J58" s="691"/>
      <c r="K58" s="1530"/>
      <c r="L58" s="1510"/>
      <c r="M58" s="881"/>
      <c r="N58" s="701"/>
      <c r="O58" s="701" t="s">
        <v>22</v>
      </c>
      <c r="P58" s="1527">
        <f>ROUNDUP(G58*I58,-3)</f>
        <v>840000</v>
      </c>
      <c r="Q58" s="694"/>
      <c r="R58" s="694"/>
      <c r="S58" s="695"/>
      <c r="T58" s="696"/>
    </row>
    <row r="59" spans="1:27" ht="14.45" customHeight="1">
      <c r="A59" s="778"/>
      <c r="B59" s="786"/>
      <c r="C59" s="792"/>
      <c r="D59" s="786"/>
      <c r="E59" s="3637" t="s">
        <v>3151</v>
      </c>
      <c r="F59" s="3638"/>
      <c r="G59" s="3638"/>
      <c r="H59" s="3638"/>
      <c r="I59" s="3638"/>
      <c r="J59" s="3638"/>
      <c r="K59" s="3638"/>
      <c r="L59" s="3638"/>
      <c r="M59" s="3638"/>
      <c r="N59" s="3638"/>
      <c r="O59" s="3638"/>
      <c r="P59" s="3639"/>
      <c r="Q59" s="645">
        <f>P60</f>
        <v>1200000</v>
      </c>
      <c r="R59" s="645">
        <v>0</v>
      </c>
      <c r="S59" s="646">
        <f>Q59-R59</f>
        <v>1200000</v>
      </c>
      <c r="T59" s="647"/>
    </row>
    <row r="60" spans="1:27" ht="14.45" customHeight="1">
      <c r="A60" s="778"/>
      <c r="B60" s="786"/>
      <c r="C60" s="792"/>
      <c r="D60" s="786"/>
      <c r="E60" s="3314"/>
      <c r="F60" s="1507" t="s">
        <v>94</v>
      </c>
      <c r="G60" s="686"/>
      <c r="H60" s="679"/>
      <c r="I60" s="679"/>
      <c r="J60" s="679"/>
      <c r="K60" s="679"/>
      <c r="L60" s="1508"/>
      <c r="M60" s="679"/>
      <c r="N60" s="687"/>
      <c r="O60" s="687"/>
      <c r="P60" s="681">
        <f>SUM(P61:P63)</f>
        <v>1200000</v>
      </c>
      <c r="Q60" s="653">
        <f>P60</f>
        <v>1200000</v>
      </c>
      <c r="R60" s="653">
        <v>0</v>
      </c>
      <c r="S60" s="654">
        <f>Q60-R60</f>
        <v>1200000</v>
      </c>
      <c r="T60" s="655"/>
      <c r="AA60" s="128">
        <v>0</v>
      </c>
    </row>
    <row r="61" spans="1:27" ht="14.45" customHeight="1">
      <c r="A61" s="778"/>
      <c r="B61" s="786"/>
      <c r="C61" s="792"/>
      <c r="D61" s="786"/>
      <c r="E61" s="3315"/>
      <c r="F61" s="1511" t="s">
        <v>2222</v>
      </c>
      <c r="G61" s="880">
        <v>500000</v>
      </c>
      <c r="H61" s="691" t="s">
        <v>21</v>
      </c>
      <c r="I61" s="878">
        <v>1</v>
      </c>
      <c r="J61" s="691"/>
      <c r="K61" s="881"/>
      <c r="L61" s="1510"/>
      <c r="M61" s="881"/>
      <c r="N61" s="701"/>
      <c r="O61" s="701" t="s">
        <v>22</v>
      </c>
      <c r="P61" s="1527">
        <f>ROUNDUP(G61*I61,-3)</f>
        <v>500000</v>
      </c>
      <c r="Q61" s="694"/>
      <c r="R61" s="694"/>
      <c r="S61" s="695"/>
      <c r="T61" s="696"/>
      <c r="AA61" s="128">
        <v>0</v>
      </c>
    </row>
    <row r="62" spans="1:27" ht="14.45" customHeight="1">
      <c r="A62" s="778"/>
      <c r="B62" s="786"/>
      <c r="C62" s="792"/>
      <c r="D62" s="786"/>
      <c r="E62" s="3315"/>
      <c r="F62" s="1511" t="s">
        <v>2223</v>
      </c>
      <c r="G62" s="880">
        <v>500000</v>
      </c>
      <c r="H62" s="691" t="s">
        <v>21</v>
      </c>
      <c r="I62" s="878">
        <v>1</v>
      </c>
      <c r="J62" s="691"/>
      <c r="K62" s="881"/>
      <c r="L62" s="1510"/>
      <c r="M62" s="881"/>
      <c r="N62" s="701"/>
      <c r="O62" s="701" t="s">
        <v>22</v>
      </c>
      <c r="P62" s="1527">
        <f>ROUNDUP(G62*I62,-3)</f>
        <v>500000</v>
      </c>
      <c r="Q62" s="694"/>
      <c r="R62" s="694"/>
      <c r="S62" s="695"/>
      <c r="T62" s="696"/>
    </row>
    <row r="63" spans="1:27" ht="14.45" customHeight="1">
      <c r="A63" s="778"/>
      <c r="B63" s="786"/>
      <c r="C63" s="792"/>
      <c r="D63" s="786"/>
      <c r="E63" s="3316"/>
      <c r="F63" s="1511" t="s">
        <v>742</v>
      </c>
      <c r="G63" s="880">
        <v>50000</v>
      </c>
      <c r="H63" s="691" t="s">
        <v>21</v>
      </c>
      <c r="I63" s="878">
        <v>4</v>
      </c>
      <c r="J63" s="691"/>
      <c r="K63" s="881"/>
      <c r="L63" s="1510"/>
      <c r="M63" s="881"/>
      <c r="N63" s="701"/>
      <c r="O63" s="701" t="s">
        <v>22</v>
      </c>
      <c r="P63" s="1527">
        <f>ROUNDUP(G63*I63,-3)</f>
        <v>200000</v>
      </c>
      <c r="Q63" s="694"/>
      <c r="R63" s="694"/>
      <c r="S63" s="695"/>
      <c r="T63" s="696"/>
    </row>
    <row r="64" spans="1:27" ht="14.45" customHeight="1">
      <c r="A64" s="778"/>
      <c r="B64" s="786"/>
      <c r="C64" s="792"/>
      <c r="D64" s="786"/>
      <c r="E64" s="3637" t="s">
        <v>3152</v>
      </c>
      <c r="F64" s="3638"/>
      <c r="G64" s="3638"/>
      <c r="H64" s="3638"/>
      <c r="I64" s="3638"/>
      <c r="J64" s="3638"/>
      <c r="K64" s="3638"/>
      <c r="L64" s="3638"/>
      <c r="M64" s="3638"/>
      <c r="N64" s="3638"/>
      <c r="O64" s="3638"/>
      <c r="P64" s="3639"/>
      <c r="Q64" s="645">
        <f>P65</f>
        <v>535000</v>
      </c>
      <c r="R64" s="645">
        <v>526000</v>
      </c>
      <c r="S64" s="646">
        <f>Q64-R64</f>
        <v>9000</v>
      </c>
      <c r="T64" s="647">
        <f>S64/R64</f>
        <v>1.7110266159695818E-2</v>
      </c>
    </row>
    <row r="65" spans="1:27" ht="14.45" customHeight="1">
      <c r="A65" s="778"/>
      <c r="B65" s="786"/>
      <c r="C65" s="792"/>
      <c r="D65" s="786"/>
      <c r="E65" s="1164"/>
      <c r="F65" s="1507" t="s">
        <v>97</v>
      </c>
      <c r="G65" s="686"/>
      <c r="H65" s="679"/>
      <c r="I65" s="679"/>
      <c r="J65" s="679"/>
      <c r="K65" s="679"/>
      <c r="L65" s="1508"/>
      <c r="M65" s="679"/>
      <c r="N65" s="687"/>
      <c r="O65" s="687"/>
      <c r="P65" s="681">
        <f>SUM(P66:P69)</f>
        <v>535000</v>
      </c>
      <c r="Q65" s="653">
        <f>P65</f>
        <v>535000</v>
      </c>
      <c r="R65" s="653">
        <v>526000</v>
      </c>
      <c r="S65" s="654">
        <f>Q65-R65</f>
        <v>9000</v>
      </c>
      <c r="T65" s="655">
        <f>S65/R65</f>
        <v>1.7110266159695818E-2</v>
      </c>
      <c r="AA65" s="128">
        <v>526000</v>
      </c>
    </row>
    <row r="66" spans="1:27" ht="14.45" customHeight="1">
      <c r="A66" s="778"/>
      <c r="B66" s="786"/>
      <c r="C66" s="792"/>
      <c r="D66" s="786"/>
      <c r="E66" s="3282"/>
      <c r="F66" s="1511" t="s">
        <v>2224</v>
      </c>
      <c r="G66" s="880">
        <v>410000</v>
      </c>
      <c r="H66" s="691" t="s">
        <v>21</v>
      </c>
      <c r="I66" s="877">
        <v>1</v>
      </c>
      <c r="J66" s="691"/>
      <c r="K66" s="881"/>
      <c r="L66" s="1510"/>
      <c r="M66" s="881"/>
      <c r="N66" s="701"/>
      <c r="O66" s="701" t="s">
        <v>22</v>
      </c>
      <c r="P66" s="882">
        <f>ROUNDUP(G66*I66,-3)</f>
        <v>410000</v>
      </c>
      <c r="Q66" s="694"/>
      <c r="R66" s="694"/>
      <c r="S66" s="695"/>
      <c r="T66" s="696"/>
      <c r="AA66" s="128">
        <v>526000</v>
      </c>
    </row>
    <row r="67" spans="1:27" ht="14.45" customHeight="1">
      <c r="A67" s="778"/>
      <c r="B67" s="786"/>
      <c r="C67" s="792"/>
      <c r="D67" s="786"/>
      <c r="E67" s="3282"/>
      <c r="F67" s="1511" t="s">
        <v>2225</v>
      </c>
      <c r="G67" s="702">
        <v>60900</v>
      </c>
      <c r="H67" s="691" t="s">
        <v>21</v>
      </c>
      <c r="I67" s="877">
        <v>1</v>
      </c>
      <c r="J67" s="691"/>
      <c r="K67" s="881"/>
      <c r="L67" s="1510"/>
      <c r="M67" s="881"/>
      <c r="N67" s="701"/>
      <c r="O67" s="701" t="s">
        <v>22</v>
      </c>
      <c r="P67" s="882">
        <f>ROUNDUP(G67*I67,-3)</f>
        <v>61000</v>
      </c>
      <c r="Q67" s="694"/>
      <c r="R67" s="694"/>
      <c r="S67" s="695"/>
      <c r="T67" s="696"/>
    </row>
    <row r="68" spans="1:27" ht="14.45" customHeight="1">
      <c r="A68" s="778"/>
      <c r="B68" s="786"/>
      <c r="C68" s="792"/>
      <c r="D68" s="786"/>
      <c r="E68" s="3282"/>
      <c r="F68" s="1509" t="s">
        <v>2226</v>
      </c>
      <c r="G68" s="702">
        <v>24000</v>
      </c>
      <c r="H68" s="691" t="s">
        <v>21</v>
      </c>
      <c r="I68" s="877">
        <v>1</v>
      </c>
      <c r="J68" s="691"/>
      <c r="K68" s="881"/>
      <c r="L68" s="1510"/>
      <c r="M68" s="881"/>
      <c r="N68" s="701"/>
      <c r="O68" s="701" t="s">
        <v>22</v>
      </c>
      <c r="P68" s="882">
        <f>ROUNDUP(G68*I68,-3)</f>
        <v>24000</v>
      </c>
      <c r="Q68" s="694"/>
      <c r="R68" s="694"/>
      <c r="S68" s="695"/>
      <c r="T68" s="696"/>
    </row>
    <row r="69" spans="1:27" ht="14.45" customHeight="1">
      <c r="A69" s="778"/>
      <c r="B69" s="786"/>
      <c r="C69" s="792"/>
      <c r="D69" s="786"/>
      <c r="E69" s="3283"/>
      <c r="F69" s="1509" t="s">
        <v>2227</v>
      </c>
      <c r="G69" s="702">
        <v>20000</v>
      </c>
      <c r="H69" s="691" t="s">
        <v>21</v>
      </c>
      <c r="I69" s="877">
        <v>2</v>
      </c>
      <c r="J69" s="691"/>
      <c r="K69" s="881"/>
      <c r="L69" s="1510"/>
      <c r="M69" s="881"/>
      <c r="N69" s="701"/>
      <c r="O69" s="701" t="s">
        <v>22</v>
      </c>
      <c r="P69" s="882">
        <f>ROUNDUP(G69*I69,-3)</f>
        <v>40000</v>
      </c>
      <c r="Q69" s="694"/>
      <c r="R69" s="694"/>
      <c r="S69" s="695"/>
      <c r="T69" s="696"/>
    </row>
    <row r="70" spans="1:27" ht="14.45" customHeight="1">
      <c r="A70" s="778"/>
      <c r="B70" s="786"/>
      <c r="C70" s="792"/>
      <c r="D70" s="1010"/>
      <c r="E70" s="3637" t="s">
        <v>198</v>
      </c>
      <c r="F70" s="3638"/>
      <c r="G70" s="3638"/>
      <c r="H70" s="3638"/>
      <c r="I70" s="3638"/>
      <c r="J70" s="3638"/>
      <c r="K70" s="3638"/>
      <c r="L70" s="3638"/>
      <c r="M70" s="3638"/>
      <c r="N70" s="3638"/>
      <c r="O70" s="3638"/>
      <c r="P70" s="3639"/>
      <c r="Q70" s="645">
        <f>P71</f>
        <v>8064000</v>
      </c>
      <c r="R70" s="645">
        <v>7546000</v>
      </c>
      <c r="S70" s="646">
        <f>Q70-R70</f>
        <v>518000</v>
      </c>
      <c r="T70" s="647">
        <f>S70/R70</f>
        <v>6.8645640074211506E-2</v>
      </c>
    </row>
    <row r="71" spans="1:27" ht="14.45" customHeight="1">
      <c r="A71" s="778"/>
      <c r="B71" s="786"/>
      <c r="C71" s="792"/>
      <c r="D71" s="786"/>
      <c r="E71" s="1164"/>
      <c r="F71" s="1541" t="s">
        <v>2228</v>
      </c>
      <c r="G71" s="1086"/>
      <c r="H71" s="1085"/>
      <c r="I71" s="1085"/>
      <c r="J71" s="1085"/>
      <c r="K71" s="1085"/>
      <c r="L71" s="1087"/>
      <c r="M71" s="1087"/>
      <c r="N71" s="1087"/>
      <c r="O71" s="1087"/>
      <c r="P71" s="1542">
        <f>SUM(P72:P75)</f>
        <v>8064000</v>
      </c>
      <c r="Q71" s="653">
        <f>P71</f>
        <v>8064000</v>
      </c>
      <c r="R71" s="1089">
        <v>7546000</v>
      </c>
      <c r="S71" s="654">
        <f>Q71-R71</f>
        <v>518000</v>
      </c>
      <c r="T71" s="655">
        <f>S71/R71</f>
        <v>6.8645640074211506E-2</v>
      </c>
      <c r="AA71" s="128">
        <v>7546000</v>
      </c>
    </row>
    <row r="72" spans="1:27" ht="14.45" customHeight="1">
      <c r="A72" s="778"/>
      <c r="B72" s="786"/>
      <c r="C72" s="792"/>
      <c r="D72" s="786"/>
      <c r="E72" s="3282"/>
      <c r="F72" s="1543" t="s">
        <v>2229</v>
      </c>
      <c r="G72" s="880">
        <v>400000</v>
      </c>
      <c r="H72" s="2522" t="s">
        <v>21</v>
      </c>
      <c r="I72" s="881">
        <v>12</v>
      </c>
      <c r="J72" s="2522"/>
      <c r="K72" s="1544"/>
      <c r="L72" s="1510"/>
      <c r="M72" s="881"/>
      <c r="N72" s="701"/>
      <c r="O72" s="701" t="s">
        <v>22</v>
      </c>
      <c r="P72" s="882">
        <f>ROUNDUP(G72*I72,-3)</f>
        <v>4800000</v>
      </c>
      <c r="Q72" s="858"/>
      <c r="R72" s="858"/>
      <c r="S72" s="859"/>
      <c r="T72" s="891"/>
      <c r="AA72" s="128">
        <v>7546000</v>
      </c>
    </row>
    <row r="73" spans="1:27" ht="14.45" customHeight="1">
      <c r="A73" s="778"/>
      <c r="B73" s="786"/>
      <c r="C73" s="792"/>
      <c r="D73" s="786"/>
      <c r="E73" s="3282"/>
      <c r="F73" s="884" t="s">
        <v>2230</v>
      </c>
      <c r="G73" s="702">
        <v>90000</v>
      </c>
      <c r="H73" s="2522" t="s">
        <v>21</v>
      </c>
      <c r="I73" s="1530">
        <v>12</v>
      </c>
      <c r="J73" s="2522"/>
      <c r="K73" s="1530"/>
      <c r="L73" s="1510"/>
      <c r="M73" s="881"/>
      <c r="N73" s="701"/>
      <c r="O73" s="701" t="s">
        <v>22</v>
      </c>
      <c r="P73" s="1527">
        <f>ROUNDUP(G73*I73,-3)</f>
        <v>1080000</v>
      </c>
      <c r="Q73" s="858"/>
      <c r="R73" s="858"/>
      <c r="S73" s="859"/>
      <c r="T73" s="891"/>
    </row>
    <row r="74" spans="1:27" ht="14.45" customHeight="1">
      <c r="A74" s="778"/>
      <c r="B74" s="786"/>
      <c r="C74" s="792"/>
      <c r="D74" s="786"/>
      <c r="E74" s="3282"/>
      <c r="F74" s="1543" t="s">
        <v>2231</v>
      </c>
      <c r="G74" s="880">
        <v>132000</v>
      </c>
      <c r="H74" s="2522" t="s">
        <v>21</v>
      </c>
      <c r="I74" s="881">
        <v>12</v>
      </c>
      <c r="J74" s="2522"/>
      <c r="K74" s="881"/>
      <c r="L74" s="1510"/>
      <c r="M74" s="881"/>
      <c r="N74" s="701"/>
      <c r="O74" s="701" t="s">
        <v>22</v>
      </c>
      <c r="P74" s="882">
        <f>ROUNDUP(G74*I74,-3)</f>
        <v>1584000</v>
      </c>
      <c r="Q74" s="858"/>
      <c r="R74" s="858"/>
      <c r="S74" s="859"/>
      <c r="T74" s="891"/>
    </row>
    <row r="75" spans="1:27" ht="14.45" customHeight="1">
      <c r="A75" s="778"/>
      <c r="B75" s="786"/>
      <c r="C75" s="792"/>
      <c r="D75" s="786"/>
      <c r="E75" s="3282"/>
      <c r="F75" s="1543" t="s">
        <v>2232</v>
      </c>
      <c r="G75" s="880">
        <v>600000</v>
      </c>
      <c r="H75" s="2522" t="s">
        <v>21</v>
      </c>
      <c r="I75" s="878">
        <v>1</v>
      </c>
      <c r="J75" s="2522"/>
      <c r="K75" s="881"/>
      <c r="L75" s="1510"/>
      <c r="M75" s="881"/>
      <c r="N75" s="701"/>
      <c r="O75" s="701" t="s">
        <v>22</v>
      </c>
      <c r="P75" s="882">
        <f>ROUNDUP(G75*I75,-3)</f>
        <v>600000</v>
      </c>
      <c r="Q75" s="858"/>
      <c r="R75" s="858"/>
      <c r="S75" s="859"/>
      <c r="T75" s="891"/>
    </row>
    <row r="76" spans="1:27" s="1137" customFormat="1" ht="15" customHeight="1">
      <c r="A76" s="1166"/>
      <c r="B76" s="1139"/>
      <c r="C76" s="1168"/>
      <c r="D76" s="1139"/>
      <c r="E76" s="3637" t="s">
        <v>252</v>
      </c>
      <c r="F76" s="3638"/>
      <c r="G76" s="3638"/>
      <c r="H76" s="3638"/>
      <c r="I76" s="3638"/>
      <c r="J76" s="3638"/>
      <c r="K76" s="3638"/>
      <c r="L76" s="3638"/>
      <c r="M76" s="3638"/>
      <c r="N76" s="3638"/>
      <c r="O76" s="3638"/>
      <c r="P76" s="3639"/>
      <c r="Q76" s="1154">
        <f>P77</f>
        <v>600000</v>
      </c>
      <c r="R76" s="1154">
        <v>0</v>
      </c>
      <c r="S76" s="1155">
        <f>Q76-R76</f>
        <v>600000</v>
      </c>
      <c r="T76" s="647"/>
    </row>
    <row r="77" spans="1:27" s="1137" customFormat="1" ht="15" customHeight="1">
      <c r="A77" s="1482"/>
      <c r="B77" s="1296"/>
      <c r="C77" s="1136"/>
      <c r="D77" s="1296"/>
      <c r="E77" s="3318"/>
      <c r="F77" s="1574" t="s">
        <v>2233</v>
      </c>
      <c r="G77" s="1575"/>
      <c r="H77" s="1576"/>
      <c r="I77" s="1576"/>
      <c r="J77" s="1576"/>
      <c r="K77" s="1576"/>
      <c r="L77" s="1577"/>
      <c r="M77" s="1576"/>
      <c r="N77" s="1578"/>
      <c r="O77" s="1578"/>
      <c r="P77" s="1579">
        <f>SUM(P78)</f>
        <v>600000</v>
      </c>
      <c r="Q77" s="683">
        <f>P77</f>
        <v>600000</v>
      </c>
      <c r="R77" s="683">
        <v>0</v>
      </c>
      <c r="S77" s="1489">
        <f>Q77-R77</f>
        <v>600000</v>
      </c>
      <c r="T77" s="1490"/>
      <c r="AA77" s="1137">
        <v>0</v>
      </c>
    </row>
    <row r="78" spans="1:27" s="1137" customFormat="1" ht="15" customHeight="1">
      <c r="A78" s="1166"/>
      <c r="B78" s="1139"/>
      <c r="C78" s="1168"/>
      <c r="D78" s="1139"/>
      <c r="E78" s="3306"/>
      <c r="F78" s="1511" t="s">
        <v>2234</v>
      </c>
      <c r="G78" s="880">
        <v>50000</v>
      </c>
      <c r="H78" s="691" t="s">
        <v>21</v>
      </c>
      <c r="I78" s="876">
        <v>1</v>
      </c>
      <c r="J78" s="691" t="s">
        <v>21</v>
      </c>
      <c r="K78" s="881">
        <v>12</v>
      </c>
      <c r="L78" s="1510"/>
      <c r="M78" s="881"/>
      <c r="N78" s="701"/>
      <c r="O78" s="701" t="s">
        <v>22</v>
      </c>
      <c r="P78" s="882">
        <f>ROUNDUP(G78*I78*K78,-3)</f>
        <v>600000</v>
      </c>
      <c r="Q78" s="694"/>
      <c r="R78" s="694"/>
      <c r="S78" s="695"/>
      <c r="T78" s="696"/>
      <c r="AA78" s="1137">
        <v>0</v>
      </c>
    </row>
    <row r="79" spans="1:27" ht="14.45" customHeight="1">
      <c r="A79" s="778"/>
      <c r="B79" s="786"/>
      <c r="C79" s="792"/>
      <c r="D79" s="1545" t="s">
        <v>2235</v>
      </c>
      <c r="E79" s="2229"/>
      <c r="F79" s="1269"/>
      <c r="G79" s="636"/>
      <c r="H79" s="635"/>
      <c r="I79" s="635"/>
      <c r="J79" s="635"/>
      <c r="K79" s="635"/>
      <c r="L79" s="637"/>
      <c r="M79" s="637"/>
      <c r="N79" s="637"/>
      <c r="O79" s="637"/>
      <c r="P79" s="635"/>
      <c r="Q79" s="638">
        <f>Q80</f>
        <v>1500000</v>
      </c>
      <c r="R79" s="638">
        <f>R80</f>
        <v>3800000</v>
      </c>
      <c r="S79" s="793">
        <f>Q79-R79</f>
        <v>-2300000</v>
      </c>
      <c r="T79" s="873">
        <f>S79/R79</f>
        <v>-0.60526315789473684</v>
      </c>
    </row>
    <row r="80" spans="1:27" ht="14.45" customHeight="1">
      <c r="A80" s="778"/>
      <c r="B80" s="786"/>
      <c r="C80" s="792"/>
      <c r="D80" s="844"/>
      <c r="E80" s="3637" t="s">
        <v>3153</v>
      </c>
      <c r="F80" s="3638"/>
      <c r="G80" s="3638"/>
      <c r="H80" s="3638"/>
      <c r="I80" s="3638"/>
      <c r="J80" s="3638"/>
      <c r="K80" s="3638"/>
      <c r="L80" s="3638"/>
      <c r="M80" s="3638"/>
      <c r="N80" s="3638"/>
      <c r="O80" s="3638"/>
      <c r="P80" s="3639"/>
      <c r="Q80" s="645">
        <f>P81</f>
        <v>1500000</v>
      </c>
      <c r="R80" s="645">
        <v>3800000</v>
      </c>
      <c r="S80" s="646">
        <f>Q80-R80</f>
        <v>-2300000</v>
      </c>
      <c r="T80" s="647">
        <f>S80/R80</f>
        <v>-0.60526315789473684</v>
      </c>
      <c r="AA80" s="128">
        <v>3800000</v>
      </c>
    </row>
    <row r="81" spans="1:27" ht="14.45" customHeight="1">
      <c r="A81" s="778"/>
      <c r="B81" s="786"/>
      <c r="C81" s="792"/>
      <c r="D81" s="786"/>
      <c r="F81" s="1507" t="s">
        <v>320</v>
      </c>
      <c r="G81" s="686"/>
      <c r="H81" s="679"/>
      <c r="I81" s="679"/>
      <c r="J81" s="679"/>
      <c r="K81" s="679"/>
      <c r="L81" s="1508"/>
      <c r="M81" s="679"/>
      <c r="N81" s="687"/>
      <c r="O81" s="687"/>
      <c r="P81" s="681">
        <f>SUM(P82)</f>
        <v>1500000</v>
      </c>
      <c r="Q81" s="653">
        <f>P81</f>
        <v>1500000</v>
      </c>
      <c r="R81" s="653">
        <v>3800000</v>
      </c>
      <c r="S81" s="654">
        <f>Q81-R81</f>
        <v>-2300000</v>
      </c>
      <c r="T81" s="655">
        <f>S81/R81</f>
        <v>-0.60526315789473684</v>
      </c>
      <c r="AA81" s="128">
        <v>3800000</v>
      </c>
    </row>
    <row r="82" spans="1:27" ht="14.45" customHeight="1">
      <c r="A82" s="778"/>
      <c r="B82" s="786"/>
      <c r="C82" s="792"/>
      <c r="D82" s="786"/>
      <c r="F82" s="1511" t="s">
        <v>2236</v>
      </c>
      <c r="G82" s="880">
        <v>1500000</v>
      </c>
      <c r="H82" s="691" t="s">
        <v>21</v>
      </c>
      <c r="I82" s="1546">
        <v>1</v>
      </c>
      <c r="J82" s="691"/>
      <c r="K82" s="881"/>
      <c r="L82" s="1510"/>
      <c r="M82" s="881"/>
      <c r="N82" s="701"/>
      <c r="O82" s="701" t="s">
        <v>22</v>
      </c>
      <c r="P82" s="882">
        <f>ROUNDUP(G82*I82,-3)</f>
        <v>1500000</v>
      </c>
      <c r="Q82" s="694"/>
      <c r="R82" s="694"/>
      <c r="S82" s="695"/>
      <c r="T82" s="696"/>
      <c r="AA82" s="128">
        <v>3800000</v>
      </c>
    </row>
    <row r="83" spans="1:27" ht="14.45" customHeight="1">
      <c r="A83" s="778"/>
      <c r="B83" s="786"/>
      <c r="C83" s="3685" t="s">
        <v>3174</v>
      </c>
      <c r="D83" s="3686"/>
      <c r="E83" s="3686"/>
      <c r="F83" s="3686"/>
      <c r="G83" s="3686"/>
      <c r="H83" s="3686"/>
      <c r="I83" s="3686"/>
      <c r="J83" s="3686"/>
      <c r="K83" s="3686"/>
      <c r="L83" s="3686"/>
      <c r="M83" s="3686"/>
      <c r="N83" s="3686"/>
      <c r="O83" s="3686"/>
      <c r="P83" s="3687"/>
      <c r="Q83" s="1547">
        <f>Q84</f>
        <v>30000000</v>
      </c>
      <c r="R83" s="1547">
        <f>R84</f>
        <v>32226000</v>
      </c>
      <c r="S83" s="867">
        <f>Q83-R83</f>
        <v>-2226000</v>
      </c>
      <c r="T83" s="868">
        <f>S83/R83</f>
        <v>-6.9074660212250977E-2</v>
      </c>
    </row>
    <row r="84" spans="1:27" ht="14.45" customHeight="1">
      <c r="A84" s="778"/>
      <c r="B84" s="786"/>
      <c r="C84" s="897"/>
      <c r="D84" s="684" t="s">
        <v>2237</v>
      </c>
      <c r="E84" s="2229"/>
      <c r="F84" s="1269"/>
      <c r="G84" s="636"/>
      <c r="H84" s="635"/>
      <c r="I84" s="635"/>
      <c r="J84" s="635"/>
      <c r="K84" s="635"/>
      <c r="L84" s="637"/>
      <c r="M84" s="637"/>
      <c r="N84" s="637"/>
      <c r="O84" s="637"/>
      <c r="P84" s="635"/>
      <c r="Q84" s="638">
        <f>SUM(Q85,Q103,Q117,Q138)</f>
        <v>30000000</v>
      </c>
      <c r="R84" s="638">
        <f>SUM(R85,R103,R117,R138)</f>
        <v>32226000</v>
      </c>
      <c r="S84" s="793">
        <f>Q84-R84</f>
        <v>-2226000</v>
      </c>
      <c r="T84" s="873">
        <f>S84/R84</f>
        <v>-6.9074660212250977E-2</v>
      </c>
      <c r="AA84" s="128">
        <v>32226000</v>
      </c>
    </row>
    <row r="85" spans="1:27" ht="14.45" customHeight="1">
      <c r="A85" s="778"/>
      <c r="B85" s="786"/>
      <c r="C85" s="792"/>
      <c r="D85" s="786"/>
      <c r="E85" s="3637" t="s">
        <v>3154</v>
      </c>
      <c r="F85" s="3638"/>
      <c r="G85" s="3638"/>
      <c r="H85" s="3638"/>
      <c r="I85" s="3638"/>
      <c r="J85" s="3638"/>
      <c r="K85" s="3638"/>
      <c r="L85" s="3638"/>
      <c r="M85" s="3638"/>
      <c r="N85" s="3638"/>
      <c r="O85" s="3638"/>
      <c r="P85" s="3639"/>
      <c r="Q85" s="1049">
        <f>SUM(P86,P90,P95,P99)</f>
        <v>5400000</v>
      </c>
      <c r="R85" s="1049">
        <f>SUM(R86:R102)</f>
        <v>8220000</v>
      </c>
      <c r="S85" s="1050">
        <f>Q85-R85</f>
        <v>-2820000</v>
      </c>
      <c r="T85" s="1051">
        <f>S85/R85</f>
        <v>-0.34306569343065696</v>
      </c>
      <c r="AA85" s="128">
        <v>32226000</v>
      </c>
    </row>
    <row r="86" spans="1:27" ht="14.45" customHeight="1">
      <c r="A86" s="778"/>
      <c r="B86" s="786"/>
      <c r="C86" s="792"/>
      <c r="D86" s="786"/>
      <c r="F86" s="1507" t="s">
        <v>2238</v>
      </c>
      <c r="G86" s="686"/>
      <c r="H86" s="679"/>
      <c r="I86" s="679"/>
      <c r="J86" s="679"/>
      <c r="K86" s="679"/>
      <c r="L86" s="1508"/>
      <c r="M86" s="679"/>
      <c r="N86" s="687"/>
      <c r="O86" s="687"/>
      <c r="P86" s="681">
        <f>SUM(P87:P89)</f>
        <v>1300000</v>
      </c>
      <c r="Q86" s="653">
        <f>P86</f>
        <v>1300000</v>
      </c>
      <c r="R86" s="653">
        <v>600000</v>
      </c>
      <c r="S86" s="654">
        <f>Q86-R86</f>
        <v>700000</v>
      </c>
      <c r="T86" s="655">
        <f>S86/R86</f>
        <v>1.1666666666666667</v>
      </c>
      <c r="AA86" s="128">
        <v>8220000</v>
      </c>
    </row>
    <row r="87" spans="1:27" ht="14.45" customHeight="1">
      <c r="A87" s="778"/>
      <c r="B87" s="786"/>
      <c r="C87" s="792"/>
      <c r="D87" s="786"/>
      <c r="F87" s="1511" t="s">
        <v>2239</v>
      </c>
      <c r="G87" s="702">
        <v>150000</v>
      </c>
      <c r="H87" s="691" t="s">
        <v>21</v>
      </c>
      <c r="I87" s="1548">
        <v>2</v>
      </c>
      <c r="J87" s="691"/>
      <c r="K87" s="691"/>
      <c r="L87" s="1512"/>
      <c r="M87" s="691"/>
      <c r="N87" s="701"/>
      <c r="O87" s="701" t="s">
        <v>22</v>
      </c>
      <c r="P87" s="882">
        <f>ROUNDUP(G87*I87,-3)</f>
        <v>300000</v>
      </c>
      <c r="Q87" s="694"/>
      <c r="R87" s="694"/>
      <c r="S87" s="695"/>
      <c r="T87" s="696"/>
      <c r="AA87" s="128">
        <v>600000</v>
      </c>
    </row>
    <row r="88" spans="1:27" ht="14.45" customHeight="1">
      <c r="A88" s="778"/>
      <c r="B88" s="786"/>
      <c r="C88" s="792"/>
      <c r="D88" s="786"/>
      <c r="F88" s="1511" t="s">
        <v>2240</v>
      </c>
      <c r="G88" s="702">
        <v>500000</v>
      </c>
      <c r="H88" s="691" t="s">
        <v>21</v>
      </c>
      <c r="I88" s="1548">
        <v>1</v>
      </c>
      <c r="J88" s="691"/>
      <c r="K88" s="691"/>
      <c r="L88" s="1512"/>
      <c r="M88" s="691"/>
      <c r="N88" s="701"/>
      <c r="O88" s="701" t="s">
        <v>22</v>
      </c>
      <c r="P88" s="882">
        <f>ROUNDUP(G88*I88,-3)</f>
        <v>500000</v>
      </c>
      <c r="Q88" s="694"/>
      <c r="R88" s="694"/>
      <c r="S88" s="695"/>
      <c r="T88" s="696"/>
    </row>
    <row r="89" spans="1:27" ht="14.45" customHeight="1">
      <c r="A89" s="778"/>
      <c r="B89" s="786"/>
      <c r="C89" s="792"/>
      <c r="D89" s="786"/>
      <c r="F89" s="1511" t="s">
        <v>2241</v>
      </c>
      <c r="G89" s="702">
        <v>50000</v>
      </c>
      <c r="H89" s="691" t="s">
        <v>21</v>
      </c>
      <c r="I89" s="1530">
        <v>10</v>
      </c>
      <c r="J89" s="691"/>
      <c r="K89" s="1530"/>
      <c r="L89" s="1512"/>
      <c r="M89" s="691"/>
      <c r="N89" s="701"/>
      <c r="O89" s="701" t="s">
        <v>22</v>
      </c>
      <c r="P89" s="882">
        <f>ROUNDUP(G89*I89,-3)</f>
        <v>500000</v>
      </c>
      <c r="Q89" s="694"/>
      <c r="R89" s="694"/>
      <c r="S89" s="695"/>
      <c r="T89" s="696"/>
    </row>
    <row r="90" spans="1:27" ht="14.45" customHeight="1">
      <c r="A90" s="778"/>
      <c r="B90" s="786"/>
      <c r="C90" s="792"/>
      <c r="D90" s="786"/>
      <c r="F90" s="1507" t="s">
        <v>2242</v>
      </c>
      <c r="G90" s="686"/>
      <c r="H90" s="679"/>
      <c r="I90" s="679"/>
      <c r="J90" s="679"/>
      <c r="K90" s="679"/>
      <c r="L90" s="1508"/>
      <c r="M90" s="679"/>
      <c r="N90" s="687"/>
      <c r="O90" s="687"/>
      <c r="P90" s="681">
        <f>SUM(P91:P94)</f>
        <v>1600000</v>
      </c>
      <c r="Q90" s="653">
        <f>P90</f>
        <v>1600000</v>
      </c>
      <c r="R90" s="653">
        <v>4560000</v>
      </c>
      <c r="S90" s="654">
        <f>Q90-R90</f>
        <v>-2960000</v>
      </c>
      <c r="T90" s="655">
        <f>S90/R90</f>
        <v>-0.64912280701754388</v>
      </c>
    </row>
    <row r="91" spans="1:27" ht="14.45" customHeight="1">
      <c r="A91" s="778"/>
      <c r="B91" s="786"/>
      <c r="C91" s="792"/>
      <c r="D91" s="786"/>
      <c r="F91" s="1415" t="s">
        <v>2825</v>
      </c>
      <c r="G91" s="1459">
        <v>50000</v>
      </c>
      <c r="H91" s="1417" t="s">
        <v>21</v>
      </c>
      <c r="I91" s="1549">
        <v>10</v>
      </c>
      <c r="J91" s="1417" t="s">
        <v>21</v>
      </c>
      <c r="K91" s="1550">
        <v>1</v>
      </c>
      <c r="L91" s="1512"/>
      <c r="M91" s="691"/>
      <c r="N91" s="701"/>
      <c r="O91" s="701" t="s">
        <v>22</v>
      </c>
      <c r="P91" s="882">
        <f>ROUNDUP(G91*I91*K91,-3)</f>
        <v>500000</v>
      </c>
      <c r="Q91" s="694"/>
      <c r="R91" s="694"/>
      <c r="S91" s="695"/>
      <c r="T91" s="696"/>
      <c r="AA91" s="128">
        <v>4560000</v>
      </c>
    </row>
    <row r="92" spans="1:27" ht="14.45" customHeight="1">
      <c r="A92" s="778"/>
      <c r="B92" s="786"/>
      <c r="C92" s="792"/>
      <c r="D92" s="786"/>
      <c r="F92" s="1415" t="s">
        <v>2241</v>
      </c>
      <c r="G92" s="1459">
        <v>50000</v>
      </c>
      <c r="H92" s="1417" t="s">
        <v>21</v>
      </c>
      <c r="I92" s="1549">
        <v>10</v>
      </c>
      <c r="J92" s="1417"/>
      <c r="K92" s="1530"/>
      <c r="L92" s="1512"/>
      <c r="M92" s="691"/>
      <c r="N92" s="701"/>
      <c r="O92" s="701" t="s">
        <v>22</v>
      </c>
      <c r="P92" s="882">
        <f>ROUNDUP(G92*I92,-3)</f>
        <v>500000</v>
      </c>
      <c r="Q92" s="694"/>
      <c r="R92" s="694"/>
      <c r="S92" s="695"/>
      <c r="T92" s="696"/>
    </row>
    <row r="93" spans="1:27" ht="14.45" customHeight="1">
      <c r="A93" s="778"/>
      <c r="B93" s="786"/>
      <c r="C93" s="792"/>
      <c r="D93" s="786"/>
      <c r="F93" s="1415" t="s">
        <v>2243</v>
      </c>
      <c r="G93" s="1459">
        <v>30000</v>
      </c>
      <c r="H93" s="1417" t="s">
        <v>21</v>
      </c>
      <c r="I93" s="1549">
        <v>10</v>
      </c>
      <c r="J93" s="1417"/>
      <c r="K93" s="1530"/>
      <c r="L93" s="1512"/>
      <c r="M93" s="691"/>
      <c r="N93" s="701"/>
      <c r="O93" s="701" t="s">
        <v>22</v>
      </c>
      <c r="P93" s="882">
        <f>ROUNDUP(G93*I93,-3)</f>
        <v>300000</v>
      </c>
      <c r="Q93" s="694"/>
      <c r="R93" s="694"/>
      <c r="S93" s="695"/>
      <c r="T93" s="696"/>
    </row>
    <row r="94" spans="1:27" ht="14.45" customHeight="1">
      <c r="A94" s="778"/>
      <c r="B94" s="786"/>
      <c r="C94" s="792"/>
      <c r="D94" s="786"/>
      <c r="F94" s="1415" t="s">
        <v>2244</v>
      </c>
      <c r="G94" s="1459">
        <v>30000</v>
      </c>
      <c r="H94" s="1417" t="s">
        <v>21</v>
      </c>
      <c r="I94" s="1549">
        <v>10</v>
      </c>
      <c r="J94" s="1417"/>
      <c r="K94" s="1530"/>
      <c r="L94" s="1512"/>
      <c r="M94" s="691"/>
      <c r="N94" s="701"/>
      <c r="O94" s="701" t="s">
        <v>22</v>
      </c>
      <c r="P94" s="882">
        <f>ROUNDUP(G94*I94,-3)</f>
        <v>300000</v>
      </c>
      <c r="Q94" s="694"/>
      <c r="R94" s="694"/>
      <c r="S94" s="695"/>
      <c r="T94" s="696"/>
    </row>
    <row r="95" spans="1:27" ht="14.45" customHeight="1">
      <c r="A95" s="778"/>
      <c r="B95" s="786"/>
      <c r="C95" s="792"/>
      <c r="D95" s="786"/>
      <c r="F95" s="1507" t="s">
        <v>2245</v>
      </c>
      <c r="G95" s="686"/>
      <c r="H95" s="679"/>
      <c r="I95" s="679"/>
      <c r="J95" s="679"/>
      <c r="K95" s="679"/>
      <c r="L95" s="1508"/>
      <c r="M95" s="679"/>
      <c r="N95" s="687"/>
      <c r="O95" s="687"/>
      <c r="P95" s="681">
        <f>SUM(P96:P98)</f>
        <v>900000</v>
      </c>
      <c r="Q95" s="653">
        <f>P95</f>
        <v>900000</v>
      </c>
      <c r="R95" s="653">
        <v>1800000</v>
      </c>
      <c r="S95" s="654">
        <f>Q95-R95</f>
        <v>-900000</v>
      </c>
      <c r="T95" s="655">
        <f>S95/R95</f>
        <v>-0.5</v>
      </c>
    </row>
    <row r="96" spans="1:27" ht="14.45" customHeight="1">
      <c r="A96" s="778"/>
      <c r="B96" s="786"/>
      <c r="C96" s="792"/>
      <c r="D96" s="786"/>
      <c r="F96" s="1415" t="s">
        <v>2826</v>
      </c>
      <c r="G96" s="702">
        <v>30000</v>
      </c>
      <c r="H96" s="691" t="s">
        <v>21</v>
      </c>
      <c r="I96" s="1530">
        <v>12</v>
      </c>
      <c r="J96" s="1417" t="s">
        <v>21</v>
      </c>
      <c r="K96" s="1550">
        <v>1</v>
      </c>
      <c r="L96" s="1512"/>
      <c r="M96" s="691"/>
      <c r="N96" s="701"/>
      <c r="O96" s="701" t="s">
        <v>22</v>
      </c>
      <c r="P96" s="882">
        <f>ROUNDUP(G96*I96*K96,-3)</f>
        <v>360000</v>
      </c>
      <c r="Q96" s="694"/>
      <c r="R96" s="694"/>
      <c r="S96" s="695"/>
      <c r="T96" s="696"/>
      <c r="AA96" s="128">
        <v>1800000</v>
      </c>
    </row>
    <row r="97" spans="1:27" ht="14.45" customHeight="1">
      <c r="A97" s="778"/>
      <c r="B97" s="786"/>
      <c r="C97" s="792"/>
      <c r="D97" s="786"/>
      <c r="F97" s="1415" t="s">
        <v>2246</v>
      </c>
      <c r="G97" s="702">
        <v>20000</v>
      </c>
      <c r="H97" s="691" t="s">
        <v>21</v>
      </c>
      <c r="I97" s="1530">
        <v>12</v>
      </c>
      <c r="J97" s="691"/>
      <c r="K97" s="1530"/>
      <c r="L97" s="1512"/>
      <c r="M97" s="691"/>
      <c r="N97" s="701"/>
      <c r="O97" s="701" t="s">
        <v>22</v>
      </c>
      <c r="P97" s="882">
        <f>ROUNDUP(G97*I97,-3)</f>
        <v>240000</v>
      </c>
      <c r="Q97" s="694"/>
      <c r="R97" s="694"/>
      <c r="S97" s="695"/>
      <c r="T97" s="696"/>
    </row>
    <row r="98" spans="1:27" ht="14.45" customHeight="1">
      <c r="A98" s="778"/>
      <c r="B98" s="786"/>
      <c r="C98" s="792"/>
      <c r="D98" s="786"/>
      <c r="F98" s="1415" t="s">
        <v>2247</v>
      </c>
      <c r="G98" s="702">
        <v>50000</v>
      </c>
      <c r="H98" s="691" t="s">
        <v>21</v>
      </c>
      <c r="I98" s="1548">
        <v>6</v>
      </c>
      <c r="J98" s="691"/>
      <c r="K98" s="691"/>
      <c r="L98" s="1512"/>
      <c r="M98" s="691"/>
      <c r="N98" s="701"/>
      <c r="O98" s="701" t="s">
        <v>22</v>
      </c>
      <c r="P98" s="882">
        <f>ROUNDUP(G98*I98,-3)</f>
        <v>300000</v>
      </c>
      <c r="Q98" s="694"/>
      <c r="R98" s="694"/>
      <c r="S98" s="695"/>
      <c r="T98" s="696"/>
    </row>
    <row r="99" spans="1:27" ht="14.45" customHeight="1">
      <c r="A99" s="778"/>
      <c r="B99" s="786"/>
      <c r="C99" s="792"/>
      <c r="D99" s="786"/>
      <c r="F99" s="1507" t="s">
        <v>2248</v>
      </c>
      <c r="G99" s="686"/>
      <c r="H99" s="679"/>
      <c r="I99" s="679"/>
      <c r="J99" s="679"/>
      <c r="K99" s="679"/>
      <c r="L99" s="1508"/>
      <c r="M99" s="679"/>
      <c r="N99" s="687"/>
      <c r="O99" s="687"/>
      <c r="P99" s="681">
        <f>SUM(P100:P102)</f>
        <v>1600000</v>
      </c>
      <c r="Q99" s="653">
        <f>P99</f>
        <v>1600000</v>
      </c>
      <c r="R99" s="653">
        <v>1260000</v>
      </c>
      <c r="S99" s="654">
        <f>Q99-R99</f>
        <v>340000</v>
      </c>
      <c r="T99" s="655">
        <f>S99/R99</f>
        <v>0.26984126984126983</v>
      </c>
    </row>
    <row r="100" spans="1:27" ht="14.45" customHeight="1">
      <c r="A100" s="778"/>
      <c r="B100" s="786"/>
      <c r="C100" s="792"/>
      <c r="D100" s="786"/>
      <c r="F100" s="1511" t="s">
        <v>2249</v>
      </c>
      <c r="G100" s="702">
        <v>100000</v>
      </c>
      <c r="H100" s="691" t="s">
        <v>21</v>
      </c>
      <c r="I100" s="1548">
        <v>10</v>
      </c>
      <c r="J100" s="691"/>
      <c r="K100" s="691"/>
      <c r="L100" s="1512"/>
      <c r="M100" s="691"/>
      <c r="N100" s="701"/>
      <c r="O100" s="701" t="s">
        <v>22</v>
      </c>
      <c r="P100" s="882">
        <f>ROUNDUP(G100*I100,-3)</f>
        <v>1000000</v>
      </c>
      <c r="Q100" s="694"/>
      <c r="R100" s="694"/>
      <c r="S100" s="695"/>
      <c r="T100" s="696"/>
      <c r="AA100" s="128">
        <v>1260000</v>
      </c>
    </row>
    <row r="101" spans="1:27" ht="14.45" customHeight="1">
      <c r="A101" s="778"/>
      <c r="B101" s="786"/>
      <c r="C101" s="792"/>
      <c r="D101" s="786"/>
      <c r="F101" s="1511" t="s">
        <v>2250</v>
      </c>
      <c r="G101" s="702">
        <v>300000</v>
      </c>
      <c r="H101" s="691" t="s">
        <v>21</v>
      </c>
      <c r="I101" s="1548">
        <v>1</v>
      </c>
      <c r="J101" s="691"/>
      <c r="K101" s="691"/>
      <c r="L101" s="1512"/>
      <c r="M101" s="691"/>
      <c r="N101" s="701"/>
      <c r="O101" s="701" t="s">
        <v>22</v>
      </c>
      <c r="P101" s="882">
        <f>ROUNDUP(G101*I101,-3)</f>
        <v>300000</v>
      </c>
      <c r="Q101" s="694"/>
      <c r="R101" s="694"/>
      <c r="S101" s="695"/>
      <c r="T101" s="696"/>
    </row>
    <row r="102" spans="1:27" ht="14.45" customHeight="1">
      <c r="A102" s="778"/>
      <c r="B102" s="786"/>
      <c r="C102" s="792"/>
      <c r="D102" s="786"/>
      <c r="F102" s="1511" t="s">
        <v>2251</v>
      </c>
      <c r="G102" s="702">
        <v>300000</v>
      </c>
      <c r="H102" s="691" t="s">
        <v>21</v>
      </c>
      <c r="I102" s="1548">
        <v>1</v>
      </c>
      <c r="J102" s="691"/>
      <c r="K102" s="691"/>
      <c r="L102" s="1512"/>
      <c r="M102" s="691"/>
      <c r="N102" s="701"/>
      <c r="O102" s="701" t="s">
        <v>22</v>
      </c>
      <c r="P102" s="882">
        <f>ROUNDUP(G102*I102,-3)</f>
        <v>300000</v>
      </c>
      <c r="Q102" s="712"/>
      <c r="R102" s="712"/>
      <c r="S102" s="713"/>
      <c r="T102" s="714"/>
    </row>
    <row r="103" spans="1:27" s="1137" customFormat="1" ht="15" customHeight="1">
      <c r="A103" s="1166"/>
      <c r="B103" s="1139"/>
      <c r="C103" s="1168"/>
      <c r="D103" s="1139"/>
      <c r="E103" s="3637" t="s">
        <v>316</v>
      </c>
      <c r="F103" s="3638"/>
      <c r="G103" s="3638"/>
      <c r="H103" s="3638"/>
      <c r="I103" s="3638"/>
      <c r="J103" s="3638"/>
      <c r="K103" s="3638"/>
      <c r="L103" s="3638"/>
      <c r="M103" s="3638"/>
      <c r="N103" s="3638"/>
      <c r="O103" s="3638"/>
      <c r="P103" s="3639"/>
      <c r="Q103" s="1538">
        <f>P104+P109+P113+P115</f>
        <v>15960000</v>
      </c>
      <c r="R103" s="1538">
        <f>SUM(R104:R116)</f>
        <v>14396000</v>
      </c>
      <c r="S103" s="1050">
        <f>Q103-R103</f>
        <v>1564000</v>
      </c>
      <c r="T103" s="1051">
        <f>S103/R103</f>
        <v>0.10864128924701306</v>
      </c>
    </row>
    <row r="104" spans="1:27" s="1137" customFormat="1" ht="15" customHeight="1">
      <c r="A104" s="1166"/>
      <c r="B104" s="1139"/>
      <c r="C104" s="1168"/>
      <c r="D104" s="1139"/>
      <c r="E104" s="1143"/>
      <c r="F104" s="1507" t="s">
        <v>2252</v>
      </c>
      <c r="G104" s="686"/>
      <c r="H104" s="679"/>
      <c r="I104" s="679"/>
      <c r="J104" s="679"/>
      <c r="K104" s="679"/>
      <c r="L104" s="1508"/>
      <c r="M104" s="679"/>
      <c r="N104" s="687"/>
      <c r="O104" s="687"/>
      <c r="P104" s="681">
        <f>SUM(P105:P108)</f>
        <v>1440000</v>
      </c>
      <c r="Q104" s="653">
        <f>P104</f>
        <v>1440000</v>
      </c>
      <c r="R104" s="653">
        <v>1796000</v>
      </c>
      <c r="S104" s="654">
        <f>Q104-R104</f>
        <v>-356000</v>
      </c>
      <c r="T104" s="655">
        <f>S104/R104</f>
        <v>-0.19821826280623608</v>
      </c>
      <c r="AA104" s="1137">
        <v>14396000</v>
      </c>
    </row>
    <row r="105" spans="1:27" s="1137" customFormat="1" ht="15" customHeight="1">
      <c r="A105" s="1166"/>
      <c r="B105" s="1139"/>
      <c r="C105" s="1168"/>
      <c r="D105" s="1139"/>
      <c r="E105" s="1143"/>
      <c r="F105" s="1415" t="s">
        <v>2253</v>
      </c>
      <c r="G105" s="702">
        <v>50000</v>
      </c>
      <c r="H105" s="2522" t="s">
        <v>21</v>
      </c>
      <c r="I105" s="1530">
        <v>12</v>
      </c>
      <c r="J105" s="2522"/>
      <c r="K105" s="1530"/>
      <c r="L105" s="2523"/>
      <c r="M105" s="2522"/>
      <c r="N105" s="701"/>
      <c r="O105" s="701" t="s">
        <v>22</v>
      </c>
      <c r="P105" s="882">
        <f>ROUNDUP(G105*I105,-3)</f>
        <v>600000</v>
      </c>
      <c r="Q105" s="694"/>
      <c r="R105" s="694"/>
      <c r="S105" s="695"/>
      <c r="T105" s="696"/>
      <c r="AA105" s="1137">
        <v>1796000</v>
      </c>
    </row>
    <row r="106" spans="1:27" s="1137" customFormat="1" ht="15" customHeight="1">
      <c r="A106" s="1166"/>
      <c r="B106" s="1139"/>
      <c r="C106" s="1168"/>
      <c r="D106" s="1139"/>
      <c r="E106" s="1143"/>
      <c r="F106" s="1415" t="s">
        <v>2820</v>
      </c>
      <c r="G106" s="702">
        <v>30000</v>
      </c>
      <c r="H106" s="2522" t="s">
        <v>21</v>
      </c>
      <c r="I106" s="1530">
        <v>12</v>
      </c>
      <c r="J106" s="2522"/>
      <c r="K106" s="1530"/>
      <c r="L106" s="2523"/>
      <c r="M106" s="2522"/>
      <c r="N106" s="701"/>
      <c r="O106" s="701" t="s">
        <v>22</v>
      </c>
      <c r="P106" s="882">
        <f>ROUNDUP(G106*I106,-3)</f>
        <v>360000</v>
      </c>
      <c r="Q106" s="694"/>
      <c r="R106" s="694"/>
      <c r="S106" s="695"/>
      <c r="T106" s="696"/>
    </row>
    <row r="107" spans="1:27" s="1137" customFormat="1" ht="15" customHeight="1">
      <c r="A107" s="1166"/>
      <c r="B107" s="1139"/>
      <c r="C107" s="1168"/>
      <c r="D107" s="1139"/>
      <c r="E107" s="1143"/>
      <c r="F107" s="1415" t="s">
        <v>2254</v>
      </c>
      <c r="G107" s="702">
        <v>30000</v>
      </c>
      <c r="H107" s="2522" t="s">
        <v>21</v>
      </c>
      <c r="I107" s="1530">
        <v>12</v>
      </c>
      <c r="J107" s="2522"/>
      <c r="K107" s="1530"/>
      <c r="L107" s="2523"/>
      <c r="M107" s="2522"/>
      <c r="N107" s="701"/>
      <c r="O107" s="701" t="s">
        <v>22</v>
      </c>
      <c r="P107" s="882">
        <f>ROUNDUP(G107*I107,-3)</f>
        <v>360000</v>
      </c>
      <c r="Q107" s="694"/>
      <c r="R107" s="694"/>
      <c r="S107" s="695"/>
      <c r="T107" s="696"/>
    </row>
    <row r="108" spans="1:27" s="1137" customFormat="1" ht="15" customHeight="1">
      <c r="A108" s="1166"/>
      <c r="B108" s="1139"/>
      <c r="C108" s="1168"/>
      <c r="D108" s="1139"/>
      <c r="E108" s="1143"/>
      <c r="F108" s="1415" t="s">
        <v>2255</v>
      </c>
      <c r="G108" s="702">
        <v>30000</v>
      </c>
      <c r="H108" s="2522" t="s">
        <v>21</v>
      </c>
      <c r="I108" s="878">
        <v>4</v>
      </c>
      <c r="J108" s="2522"/>
      <c r="K108" s="2522"/>
      <c r="L108" s="2523"/>
      <c r="M108" s="2522"/>
      <c r="N108" s="701"/>
      <c r="O108" s="701" t="s">
        <v>22</v>
      </c>
      <c r="P108" s="882">
        <f>ROUNDUP(G108*I108,-3)</f>
        <v>120000</v>
      </c>
      <c r="Q108" s="694"/>
      <c r="R108" s="694"/>
      <c r="S108" s="695"/>
      <c r="T108" s="696"/>
    </row>
    <row r="109" spans="1:27" s="1137" customFormat="1" ht="15" customHeight="1">
      <c r="A109" s="1166"/>
      <c r="B109" s="1139"/>
      <c r="C109" s="1168"/>
      <c r="D109" s="1139"/>
      <c r="E109" s="3307"/>
      <c r="F109" s="1507" t="s">
        <v>2256</v>
      </c>
      <c r="G109" s="686"/>
      <c r="H109" s="679"/>
      <c r="I109" s="679"/>
      <c r="J109" s="679"/>
      <c r="K109" s="679"/>
      <c r="L109" s="1508"/>
      <c r="M109" s="679"/>
      <c r="N109" s="687"/>
      <c r="O109" s="687"/>
      <c r="P109" s="681">
        <f>SUM(P110:P112)</f>
        <v>1920000</v>
      </c>
      <c r="Q109" s="653">
        <f>P109</f>
        <v>1920000</v>
      </c>
      <c r="R109" s="653">
        <v>1200000</v>
      </c>
      <c r="S109" s="654">
        <f>Q109-R109</f>
        <v>720000</v>
      </c>
      <c r="T109" s="655">
        <f>S109/R109</f>
        <v>0.6</v>
      </c>
    </row>
    <row r="110" spans="1:27" s="1137" customFormat="1" ht="15" customHeight="1">
      <c r="A110" s="1166"/>
      <c r="B110" s="1139"/>
      <c r="C110" s="1168"/>
      <c r="D110" s="1139"/>
      <c r="E110" s="1143"/>
      <c r="F110" s="1415" t="s">
        <v>2821</v>
      </c>
      <c r="G110" s="702">
        <v>100000</v>
      </c>
      <c r="H110" s="2522" t="s">
        <v>21</v>
      </c>
      <c r="I110" s="1530">
        <v>12</v>
      </c>
      <c r="J110" s="2522"/>
      <c r="K110" s="1530"/>
      <c r="L110" s="2523"/>
      <c r="M110" s="2522"/>
      <c r="N110" s="701"/>
      <c r="O110" s="701" t="s">
        <v>22</v>
      </c>
      <c r="P110" s="882">
        <f>ROUNDUP(G110*I110,-3)</f>
        <v>1200000</v>
      </c>
      <c r="Q110" s="694"/>
      <c r="R110" s="694"/>
      <c r="S110" s="695"/>
      <c r="T110" s="696"/>
      <c r="AA110" s="1137">
        <v>1200000</v>
      </c>
    </row>
    <row r="111" spans="1:27" s="1137" customFormat="1" ht="15" customHeight="1">
      <c r="A111" s="1166"/>
      <c r="B111" s="1139"/>
      <c r="C111" s="1168"/>
      <c r="D111" s="1139"/>
      <c r="E111" s="1143"/>
      <c r="F111" s="1415" t="s">
        <v>2822</v>
      </c>
      <c r="G111" s="702">
        <v>30000</v>
      </c>
      <c r="H111" s="2522" t="s">
        <v>21</v>
      </c>
      <c r="I111" s="1530">
        <v>12</v>
      </c>
      <c r="J111" s="2522"/>
      <c r="K111" s="1530"/>
      <c r="L111" s="2523"/>
      <c r="M111" s="2522"/>
      <c r="N111" s="701"/>
      <c r="O111" s="701" t="s">
        <v>22</v>
      </c>
      <c r="P111" s="882">
        <f>ROUNDUP(G111*I111,-3)</f>
        <v>360000</v>
      </c>
      <c r="Q111" s="694"/>
      <c r="R111" s="694"/>
      <c r="S111" s="695"/>
      <c r="T111" s="696"/>
    </row>
    <row r="112" spans="1:27" s="1137" customFormat="1" ht="15" customHeight="1">
      <c r="A112" s="1166"/>
      <c r="B112" s="1139"/>
      <c r="C112" s="1168"/>
      <c r="D112" s="1139"/>
      <c r="E112" s="1143"/>
      <c r="F112" s="1415" t="s">
        <v>2823</v>
      </c>
      <c r="G112" s="702">
        <v>30000</v>
      </c>
      <c r="H112" s="2522" t="s">
        <v>21</v>
      </c>
      <c r="I112" s="1530">
        <v>12</v>
      </c>
      <c r="J112" s="2522"/>
      <c r="K112" s="1530" t="s">
        <v>2981</v>
      </c>
      <c r="L112" s="2523"/>
      <c r="M112" s="2522"/>
      <c r="N112" s="701"/>
      <c r="O112" s="701" t="s">
        <v>22</v>
      </c>
      <c r="P112" s="882">
        <f>ROUNDUP(G112*I112,-3)</f>
        <v>360000</v>
      </c>
      <c r="Q112" s="694"/>
      <c r="R112" s="694"/>
      <c r="S112" s="695"/>
      <c r="T112" s="696"/>
    </row>
    <row r="113" spans="1:27" s="1137" customFormat="1" ht="15" customHeight="1">
      <c r="A113" s="1166"/>
      <c r="B113" s="1139"/>
      <c r="C113" s="1168"/>
      <c r="D113" s="1139"/>
      <c r="E113" s="3307"/>
      <c r="F113" s="1507" t="s">
        <v>2257</v>
      </c>
      <c r="G113" s="686"/>
      <c r="H113" s="679"/>
      <c r="I113" s="679"/>
      <c r="J113" s="679"/>
      <c r="K113" s="679"/>
      <c r="L113" s="1508"/>
      <c r="M113" s="679"/>
      <c r="N113" s="687"/>
      <c r="O113" s="687"/>
      <c r="P113" s="681">
        <f>SUM(P114)</f>
        <v>600000</v>
      </c>
      <c r="Q113" s="653">
        <f>P113</f>
        <v>600000</v>
      </c>
      <c r="R113" s="653">
        <v>600000</v>
      </c>
      <c r="S113" s="654">
        <f>Q113-R113</f>
        <v>0</v>
      </c>
      <c r="T113" s="655">
        <f>S113/R113</f>
        <v>0</v>
      </c>
    </row>
    <row r="114" spans="1:27" s="1137" customFormat="1" ht="15" customHeight="1">
      <c r="A114" s="1166"/>
      <c r="B114" s="1139"/>
      <c r="C114" s="1168"/>
      <c r="D114" s="1139"/>
      <c r="E114" s="1143"/>
      <c r="F114" s="1415" t="s">
        <v>2824</v>
      </c>
      <c r="G114" s="702">
        <v>50000</v>
      </c>
      <c r="H114" s="2522" t="s">
        <v>21</v>
      </c>
      <c r="I114" s="1530">
        <v>12</v>
      </c>
      <c r="J114" s="2522"/>
      <c r="K114" s="1530"/>
      <c r="L114" s="2523"/>
      <c r="M114" s="2522"/>
      <c r="N114" s="701"/>
      <c r="O114" s="701" t="s">
        <v>22</v>
      </c>
      <c r="P114" s="882">
        <f>ROUNDUP(G114*I114,-3)</f>
        <v>600000</v>
      </c>
      <c r="Q114" s="694"/>
      <c r="R114" s="694"/>
      <c r="S114" s="695"/>
      <c r="T114" s="696"/>
      <c r="AA114" s="1137">
        <v>600000</v>
      </c>
    </row>
    <row r="115" spans="1:27" s="1137" customFormat="1" ht="15" customHeight="1">
      <c r="A115" s="1482"/>
      <c r="B115" s="1296"/>
      <c r="C115" s="1136"/>
      <c r="D115" s="1296"/>
      <c r="E115" s="3525"/>
      <c r="F115" s="1574" t="s">
        <v>2258</v>
      </c>
      <c r="G115" s="1575"/>
      <c r="H115" s="1576"/>
      <c r="I115" s="1576"/>
      <c r="J115" s="1576"/>
      <c r="K115" s="1576"/>
      <c r="L115" s="1577"/>
      <c r="M115" s="1576"/>
      <c r="N115" s="1578"/>
      <c r="O115" s="1578"/>
      <c r="P115" s="1579">
        <f>SUM(P116)</f>
        <v>12000000</v>
      </c>
      <c r="Q115" s="683">
        <f>P115</f>
        <v>12000000</v>
      </c>
      <c r="R115" s="683">
        <v>10800000</v>
      </c>
      <c r="S115" s="1489">
        <f>Q115-R115</f>
        <v>1200000</v>
      </c>
      <c r="T115" s="1490">
        <f>S115/R115</f>
        <v>0.1111111111111111</v>
      </c>
    </row>
    <row r="116" spans="1:27" s="1137" customFormat="1" ht="15" customHeight="1">
      <c r="A116" s="1166"/>
      <c r="B116" s="1139"/>
      <c r="C116" s="1168"/>
      <c r="D116" s="1139"/>
      <c r="E116" s="1143"/>
      <c r="F116" s="1511" t="s">
        <v>2259</v>
      </c>
      <c r="G116" s="702">
        <v>500000</v>
      </c>
      <c r="H116" s="691" t="s">
        <v>21</v>
      </c>
      <c r="I116" s="1551">
        <v>2</v>
      </c>
      <c r="J116" s="691" t="s">
        <v>21</v>
      </c>
      <c r="K116" s="1530">
        <v>12</v>
      </c>
      <c r="L116" s="1512"/>
      <c r="M116" s="691"/>
      <c r="N116" s="701"/>
      <c r="O116" s="701" t="s">
        <v>22</v>
      </c>
      <c r="P116" s="882">
        <f>ROUNDUP(G116*I116*K116,-3)</f>
        <v>12000000</v>
      </c>
      <c r="Q116" s="694"/>
      <c r="R116" s="712"/>
      <c r="S116" s="713"/>
      <c r="T116" s="714"/>
      <c r="AA116" s="1137">
        <v>10800000</v>
      </c>
    </row>
    <row r="117" spans="1:27" s="1137" customFormat="1" ht="15" customHeight="1">
      <c r="A117" s="1166"/>
      <c r="B117" s="1139"/>
      <c r="C117" s="1168"/>
      <c r="D117" s="1139"/>
      <c r="E117" s="3637" t="s">
        <v>3009</v>
      </c>
      <c r="F117" s="3638"/>
      <c r="G117" s="3638"/>
      <c r="H117" s="3638"/>
      <c r="I117" s="3638"/>
      <c r="J117" s="3638"/>
      <c r="K117" s="3638"/>
      <c r="L117" s="3638"/>
      <c r="M117" s="3638"/>
      <c r="N117" s="3638"/>
      <c r="O117" s="3638"/>
      <c r="P117" s="3639"/>
      <c r="Q117" s="1154">
        <f>P118+P122+P126+P129+P132+P135</f>
        <v>8280000</v>
      </c>
      <c r="R117" s="1538">
        <f>SUM(R118:R137)</f>
        <v>7210000</v>
      </c>
      <c r="S117" s="1050">
        <f>Q117-R117</f>
        <v>1070000</v>
      </c>
      <c r="T117" s="1540">
        <f>S117/R117</f>
        <v>0.14840499306518723</v>
      </c>
    </row>
    <row r="118" spans="1:27" s="1137" customFormat="1" ht="15" customHeight="1">
      <c r="A118" s="1166"/>
      <c r="B118" s="1139"/>
      <c r="C118" s="1168"/>
      <c r="D118" s="1139"/>
      <c r="E118" s="3307"/>
      <c r="F118" s="1507" t="s">
        <v>2260</v>
      </c>
      <c r="G118" s="686"/>
      <c r="H118" s="679"/>
      <c r="I118" s="679"/>
      <c r="J118" s="679"/>
      <c r="K118" s="679"/>
      <c r="L118" s="1508"/>
      <c r="M118" s="679"/>
      <c r="N118" s="687"/>
      <c r="O118" s="687"/>
      <c r="P118" s="681">
        <f>SUM(P119:P121)</f>
        <v>3550000</v>
      </c>
      <c r="Q118" s="653">
        <f>P118</f>
        <v>3550000</v>
      </c>
      <c r="R118" s="653">
        <v>2160000</v>
      </c>
      <c r="S118" s="654">
        <f>Q118-R118</f>
        <v>1390000</v>
      </c>
      <c r="T118" s="655">
        <f>S118/R118</f>
        <v>0.64351851851851849</v>
      </c>
      <c r="AA118" s="1137">
        <v>7210000</v>
      </c>
    </row>
    <row r="119" spans="1:27" s="1137" customFormat="1" ht="15" customHeight="1">
      <c r="A119" s="1166"/>
      <c r="B119" s="1139"/>
      <c r="C119" s="1168"/>
      <c r="D119" s="1139"/>
      <c r="E119" s="1143"/>
      <c r="F119" s="1511" t="s">
        <v>2261</v>
      </c>
      <c r="G119" s="702">
        <v>130000</v>
      </c>
      <c r="H119" s="691" t="s">
        <v>21</v>
      </c>
      <c r="I119" s="877">
        <v>10</v>
      </c>
      <c r="J119" s="691"/>
      <c r="K119" s="691"/>
      <c r="L119" s="1512"/>
      <c r="M119" s="691"/>
      <c r="N119" s="701"/>
      <c r="O119" s="701" t="s">
        <v>22</v>
      </c>
      <c r="P119" s="882">
        <f>ROUNDUP(G119*I119,-3)</f>
        <v>1300000</v>
      </c>
      <c r="Q119" s="694"/>
      <c r="R119" s="694"/>
      <c r="S119" s="695"/>
      <c r="T119" s="696"/>
      <c r="AA119" s="1137">
        <v>2160000</v>
      </c>
    </row>
    <row r="120" spans="1:27" s="1137" customFormat="1" ht="15" customHeight="1">
      <c r="A120" s="1166"/>
      <c r="B120" s="1139"/>
      <c r="C120" s="1168"/>
      <c r="D120" s="1139"/>
      <c r="E120" s="1143"/>
      <c r="F120" s="1511" t="s">
        <v>2262</v>
      </c>
      <c r="G120" s="702">
        <v>130000</v>
      </c>
      <c r="H120" s="691" t="s">
        <v>21</v>
      </c>
      <c r="I120" s="877">
        <v>15</v>
      </c>
      <c r="J120" s="691"/>
      <c r="K120" s="691"/>
      <c r="L120" s="1512"/>
      <c r="M120" s="691"/>
      <c r="N120" s="701"/>
      <c r="O120" s="701" t="s">
        <v>22</v>
      </c>
      <c r="P120" s="882">
        <f>ROUNDUP(G120*I120,-3)</f>
        <v>1950000</v>
      </c>
      <c r="Q120" s="694"/>
      <c r="R120" s="694"/>
      <c r="S120" s="695"/>
      <c r="T120" s="696"/>
    </row>
    <row r="121" spans="1:27" s="1137" customFormat="1" ht="15" customHeight="1">
      <c r="A121" s="1166"/>
      <c r="B121" s="1139"/>
      <c r="C121" s="1168"/>
      <c r="D121" s="1139"/>
      <c r="E121" s="1143"/>
      <c r="F121" s="1511" t="s">
        <v>2263</v>
      </c>
      <c r="G121" s="702">
        <v>20000</v>
      </c>
      <c r="H121" s="691" t="s">
        <v>21</v>
      </c>
      <c r="I121" s="877">
        <v>15</v>
      </c>
      <c r="J121" s="691"/>
      <c r="K121" s="691"/>
      <c r="L121" s="1512"/>
      <c r="M121" s="691"/>
      <c r="N121" s="701"/>
      <c r="O121" s="701" t="s">
        <v>22</v>
      </c>
      <c r="P121" s="882">
        <f>ROUNDUP(G121*I121,-3)</f>
        <v>300000</v>
      </c>
      <c r="Q121" s="694"/>
      <c r="R121" s="694"/>
      <c r="S121" s="695"/>
      <c r="T121" s="696"/>
    </row>
    <row r="122" spans="1:27" s="1137" customFormat="1" ht="15" customHeight="1">
      <c r="A122" s="1166"/>
      <c r="B122" s="1139"/>
      <c r="C122" s="1168"/>
      <c r="D122" s="1139"/>
      <c r="E122" s="3307"/>
      <c r="F122" s="1507" t="s">
        <v>2264</v>
      </c>
      <c r="G122" s="686"/>
      <c r="H122" s="679"/>
      <c r="I122" s="679"/>
      <c r="J122" s="679"/>
      <c r="K122" s="679"/>
      <c r="L122" s="1508"/>
      <c r="M122" s="679"/>
      <c r="N122" s="687"/>
      <c r="O122" s="687"/>
      <c r="P122" s="681">
        <f>SUM(P123:P125)</f>
        <v>1050000</v>
      </c>
      <c r="Q122" s="653">
        <f>P122</f>
        <v>1050000</v>
      </c>
      <c r="R122" s="653">
        <v>1600000</v>
      </c>
      <c r="S122" s="654">
        <f>Q122-R122</f>
        <v>-550000</v>
      </c>
      <c r="T122" s="655">
        <f>S122/R122</f>
        <v>-0.34375</v>
      </c>
    </row>
    <row r="123" spans="1:27" s="1137" customFormat="1" ht="15" customHeight="1">
      <c r="A123" s="1166"/>
      <c r="B123" s="1139"/>
      <c r="C123" s="1168"/>
      <c r="D123" s="1139"/>
      <c r="E123" s="1143"/>
      <c r="F123" s="1511" t="s">
        <v>2265</v>
      </c>
      <c r="G123" s="702">
        <v>100000</v>
      </c>
      <c r="H123" s="691" t="s">
        <v>21</v>
      </c>
      <c r="I123" s="877">
        <v>8</v>
      </c>
      <c r="J123" s="691"/>
      <c r="K123" s="691"/>
      <c r="L123" s="1512"/>
      <c r="M123" s="691"/>
      <c r="N123" s="701"/>
      <c r="O123" s="701" t="s">
        <v>22</v>
      </c>
      <c r="P123" s="882">
        <f>ROUNDUP(G123*I123,-3)</f>
        <v>800000</v>
      </c>
      <c r="Q123" s="694"/>
      <c r="R123" s="694"/>
      <c r="S123" s="695"/>
      <c r="T123" s="696"/>
      <c r="AA123" s="1137">
        <v>1600000</v>
      </c>
    </row>
    <row r="124" spans="1:27" s="1137" customFormat="1" ht="15" customHeight="1">
      <c r="A124" s="1166"/>
      <c r="B124" s="1139"/>
      <c r="C124" s="1168"/>
      <c r="D124" s="1139"/>
      <c r="E124" s="1143"/>
      <c r="F124" s="1511" t="s">
        <v>2266</v>
      </c>
      <c r="G124" s="702">
        <v>200000</v>
      </c>
      <c r="H124" s="691" t="s">
        <v>21</v>
      </c>
      <c r="I124" s="878">
        <v>1</v>
      </c>
      <c r="J124" s="691"/>
      <c r="K124" s="691"/>
      <c r="L124" s="1512"/>
      <c r="M124" s="691"/>
      <c r="N124" s="701"/>
      <c r="O124" s="701" t="s">
        <v>22</v>
      </c>
      <c r="P124" s="882">
        <f>ROUNDUP(G124*I124,-3)</f>
        <v>200000</v>
      </c>
      <c r="Q124" s="694"/>
      <c r="R124" s="694"/>
      <c r="S124" s="695"/>
      <c r="T124" s="696"/>
    </row>
    <row r="125" spans="1:27" s="1137" customFormat="1" ht="15" customHeight="1">
      <c r="A125" s="1166"/>
      <c r="B125" s="1139"/>
      <c r="C125" s="1168"/>
      <c r="D125" s="1139"/>
      <c r="E125" s="1143"/>
      <c r="F125" s="1511" t="s">
        <v>2267</v>
      </c>
      <c r="G125" s="702">
        <v>50000</v>
      </c>
      <c r="H125" s="691" t="s">
        <v>21</v>
      </c>
      <c r="I125" s="1548">
        <v>1</v>
      </c>
      <c r="J125" s="691"/>
      <c r="K125" s="691"/>
      <c r="L125" s="1512"/>
      <c r="M125" s="691"/>
      <c r="N125" s="701"/>
      <c r="O125" s="701" t="s">
        <v>22</v>
      </c>
      <c r="P125" s="882">
        <f>ROUNDUP(G125*I125,-3)</f>
        <v>50000</v>
      </c>
      <c r="Q125" s="694"/>
      <c r="R125" s="694"/>
      <c r="S125" s="695"/>
      <c r="T125" s="696"/>
    </row>
    <row r="126" spans="1:27" s="1137" customFormat="1" ht="15" customHeight="1">
      <c r="A126" s="1166"/>
      <c r="B126" s="1139"/>
      <c r="C126" s="1168"/>
      <c r="D126" s="1139"/>
      <c r="E126" s="3307"/>
      <c r="F126" s="1507" t="s">
        <v>2268</v>
      </c>
      <c r="G126" s="686"/>
      <c r="H126" s="679"/>
      <c r="I126" s="679"/>
      <c r="J126" s="679"/>
      <c r="K126" s="679"/>
      <c r="L126" s="1508"/>
      <c r="M126" s="679"/>
      <c r="N126" s="687"/>
      <c r="O126" s="687"/>
      <c r="P126" s="681">
        <f>SUM(P127:P128)</f>
        <v>720000</v>
      </c>
      <c r="Q126" s="653">
        <f>P126</f>
        <v>720000</v>
      </c>
      <c r="R126" s="653">
        <v>1360000</v>
      </c>
      <c r="S126" s="654">
        <f>Q126-R126</f>
        <v>-640000</v>
      </c>
      <c r="T126" s="655">
        <f>S126/R126</f>
        <v>-0.47058823529411764</v>
      </c>
    </row>
    <row r="127" spans="1:27" s="1137" customFormat="1" ht="15" customHeight="1">
      <c r="A127" s="1166"/>
      <c r="B127" s="1139"/>
      <c r="C127" s="1168"/>
      <c r="D127" s="1139"/>
      <c r="E127" s="1143"/>
      <c r="F127" s="1511" t="s">
        <v>2265</v>
      </c>
      <c r="G127" s="702">
        <v>130000</v>
      </c>
      <c r="H127" s="691" t="s">
        <v>21</v>
      </c>
      <c r="I127" s="877">
        <v>4</v>
      </c>
      <c r="J127" s="691"/>
      <c r="K127" s="691"/>
      <c r="L127" s="1512"/>
      <c r="M127" s="691"/>
      <c r="N127" s="701"/>
      <c r="O127" s="701" t="s">
        <v>22</v>
      </c>
      <c r="P127" s="882">
        <f>ROUNDUP(G127*I127,-3)</f>
        <v>520000</v>
      </c>
      <c r="Q127" s="694"/>
      <c r="R127" s="694"/>
      <c r="S127" s="695"/>
      <c r="T127" s="696"/>
      <c r="AA127" s="1137">
        <v>1360000</v>
      </c>
    </row>
    <row r="128" spans="1:27" s="1137" customFormat="1" ht="15" customHeight="1">
      <c r="A128" s="1166"/>
      <c r="B128" s="1139"/>
      <c r="C128" s="1168"/>
      <c r="D128" s="1139"/>
      <c r="E128" s="1143"/>
      <c r="F128" s="1511" t="s">
        <v>2266</v>
      </c>
      <c r="G128" s="702">
        <v>200000</v>
      </c>
      <c r="H128" s="691" t="s">
        <v>21</v>
      </c>
      <c r="I128" s="878">
        <v>1</v>
      </c>
      <c r="J128" s="691"/>
      <c r="K128" s="691"/>
      <c r="L128" s="1512"/>
      <c r="M128" s="691"/>
      <c r="N128" s="701"/>
      <c r="O128" s="701" t="s">
        <v>22</v>
      </c>
      <c r="P128" s="882">
        <f>ROUNDUP(G128*I128,-3)</f>
        <v>200000</v>
      </c>
      <c r="Q128" s="694"/>
      <c r="R128" s="694"/>
      <c r="S128" s="695"/>
      <c r="T128" s="696"/>
    </row>
    <row r="129" spans="1:27" s="1137" customFormat="1" ht="15" customHeight="1">
      <c r="A129" s="1166"/>
      <c r="B129" s="1139"/>
      <c r="C129" s="1168"/>
      <c r="D129" s="1139"/>
      <c r="E129" s="3307"/>
      <c r="F129" s="1507" t="s">
        <v>2269</v>
      </c>
      <c r="G129" s="686"/>
      <c r="H129" s="679"/>
      <c r="I129" s="679"/>
      <c r="J129" s="679"/>
      <c r="K129" s="679"/>
      <c r="L129" s="1508"/>
      <c r="M129" s="679"/>
      <c r="N129" s="687"/>
      <c r="O129" s="687"/>
      <c r="P129" s="681">
        <f>SUM(P130:P131)</f>
        <v>1240000</v>
      </c>
      <c r="Q129" s="653">
        <f>P129</f>
        <v>1240000</v>
      </c>
      <c r="R129" s="653">
        <v>840000</v>
      </c>
      <c r="S129" s="654">
        <f>Q129-R129</f>
        <v>400000</v>
      </c>
      <c r="T129" s="655">
        <f>S129/R129</f>
        <v>0.47619047619047616</v>
      </c>
    </row>
    <row r="130" spans="1:27" s="1137" customFormat="1" ht="15" customHeight="1">
      <c r="A130" s="1166"/>
      <c r="B130" s="1139"/>
      <c r="C130" s="1168"/>
      <c r="D130" s="1139"/>
      <c r="E130" s="1143"/>
      <c r="F130" s="1511" t="s">
        <v>2265</v>
      </c>
      <c r="G130" s="702">
        <v>130000</v>
      </c>
      <c r="H130" s="691" t="s">
        <v>21</v>
      </c>
      <c r="I130" s="877">
        <v>8</v>
      </c>
      <c r="J130" s="691"/>
      <c r="K130" s="691"/>
      <c r="L130" s="1512"/>
      <c r="M130" s="691"/>
      <c r="N130" s="701"/>
      <c r="O130" s="701" t="s">
        <v>22</v>
      </c>
      <c r="P130" s="882">
        <f>ROUNDUP(G130*I130,-3)</f>
        <v>1040000</v>
      </c>
      <c r="Q130" s="694"/>
      <c r="R130" s="694"/>
      <c r="S130" s="695"/>
      <c r="T130" s="696"/>
      <c r="AA130" s="1137">
        <v>840000</v>
      </c>
    </row>
    <row r="131" spans="1:27" s="1137" customFormat="1" ht="15" customHeight="1">
      <c r="A131" s="1166"/>
      <c r="B131" s="1139"/>
      <c r="C131" s="1168"/>
      <c r="D131" s="1139"/>
      <c r="E131" s="1143"/>
      <c r="F131" s="1511" t="s">
        <v>2266</v>
      </c>
      <c r="G131" s="702">
        <v>200000</v>
      </c>
      <c r="H131" s="691" t="s">
        <v>21</v>
      </c>
      <c r="I131" s="878">
        <v>1</v>
      </c>
      <c r="J131" s="691"/>
      <c r="K131" s="691"/>
      <c r="L131" s="1512"/>
      <c r="M131" s="691"/>
      <c r="N131" s="701"/>
      <c r="O131" s="701" t="s">
        <v>22</v>
      </c>
      <c r="P131" s="882">
        <f>ROUNDUP(G131*I131,-3)</f>
        <v>200000</v>
      </c>
      <c r="Q131" s="694"/>
      <c r="R131" s="694"/>
      <c r="S131" s="695"/>
      <c r="T131" s="696"/>
    </row>
    <row r="132" spans="1:27" s="1137" customFormat="1" ht="15" customHeight="1">
      <c r="A132" s="1166"/>
      <c r="B132" s="1139"/>
      <c r="C132" s="1168"/>
      <c r="D132" s="1139"/>
      <c r="E132" s="1143"/>
      <c r="F132" s="1507" t="s">
        <v>2270</v>
      </c>
      <c r="G132" s="686"/>
      <c r="H132" s="679"/>
      <c r="I132" s="679"/>
      <c r="J132" s="679"/>
      <c r="K132" s="679"/>
      <c r="L132" s="1508"/>
      <c r="M132" s="679"/>
      <c r="N132" s="687"/>
      <c r="O132" s="687"/>
      <c r="P132" s="681">
        <f>SUM(P133:P134)</f>
        <v>1340000</v>
      </c>
      <c r="Q132" s="653">
        <f>P132</f>
        <v>1340000</v>
      </c>
      <c r="R132" s="653">
        <v>1250000</v>
      </c>
      <c r="S132" s="654">
        <f>Q132-R132</f>
        <v>90000</v>
      </c>
      <c r="T132" s="655">
        <f>S132/R132</f>
        <v>7.1999999999999995E-2</v>
      </c>
    </row>
    <row r="133" spans="1:27" s="1137" customFormat="1" ht="15" customHeight="1">
      <c r="A133" s="1166"/>
      <c r="B133" s="1139"/>
      <c r="C133" s="1168"/>
      <c r="D133" s="1139"/>
      <c r="E133" s="1143"/>
      <c r="F133" s="1511" t="s">
        <v>2265</v>
      </c>
      <c r="G133" s="702">
        <v>130000</v>
      </c>
      <c r="H133" s="691" t="s">
        <v>21</v>
      </c>
      <c r="I133" s="877">
        <v>8</v>
      </c>
      <c r="J133" s="691"/>
      <c r="K133" s="691"/>
      <c r="L133" s="1512"/>
      <c r="M133" s="691"/>
      <c r="N133" s="701"/>
      <c r="O133" s="701" t="s">
        <v>22</v>
      </c>
      <c r="P133" s="882">
        <f>ROUNDUP(G133*I133,-3)</f>
        <v>1040000</v>
      </c>
      <c r="Q133" s="694"/>
      <c r="R133" s="694"/>
      <c r="S133" s="695"/>
      <c r="T133" s="696"/>
      <c r="AA133" s="1137">
        <v>1250000</v>
      </c>
    </row>
    <row r="134" spans="1:27" s="1137" customFormat="1" ht="15" customHeight="1">
      <c r="A134" s="1166"/>
      <c r="B134" s="1139"/>
      <c r="C134" s="1168"/>
      <c r="D134" s="1139"/>
      <c r="E134" s="1143"/>
      <c r="F134" s="1511" t="s">
        <v>2271</v>
      </c>
      <c r="G134" s="702">
        <v>300000</v>
      </c>
      <c r="H134" s="691" t="s">
        <v>21</v>
      </c>
      <c r="I134" s="878">
        <v>1</v>
      </c>
      <c r="J134" s="691"/>
      <c r="K134" s="691"/>
      <c r="L134" s="1512"/>
      <c r="M134" s="691"/>
      <c r="N134" s="701"/>
      <c r="O134" s="701" t="s">
        <v>22</v>
      </c>
      <c r="P134" s="882">
        <f>ROUNDUP(G134*I134,-3)</f>
        <v>300000</v>
      </c>
      <c r="Q134" s="694"/>
      <c r="R134" s="694"/>
      <c r="S134" s="695"/>
      <c r="T134" s="696"/>
    </row>
    <row r="135" spans="1:27" s="1137" customFormat="1" ht="15" customHeight="1">
      <c r="A135" s="1166"/>
      <c r="B135" s="1139"/>
      <c r="C135" s="1168"/>
      <c r="D135" s="1139"/>
      <c r="E135" s="3306"/>
      <c r="F135" s="1507" t="s">
        <v>2272</v>
      </c>
      <c r="G135" s="686"/>
      <c r="H135" s="679"/>
      <c r="I135" s="679"/>
      <c r="J135" s="679"/>
      <c r="K135" s="679"/>
      <c r="L135" s="1508"/>
      <c r="M135" s="679"/>
      <c r="N135" s="687"/>
      <c r="O135" s="687"/>
      <c r="P135" s="681">
        <f>SUM(P136:P137)</f>
        <v>380000</v>
      </c>
      <c r="Q135" s="653">
        <f>P135</f>
        <v>380000</v>
      </c>
      <c r="R135" s="653">
        <v>0</v>
      </c>
      <c r="S135" s="654">
        <f>Q135-R135</f>
        <v>380000</v>
      </c>
      <c r="T135" s="655"/>
    </row>
    <row r="136" spans="1:27" s="1137" customFormat="1" ht="15" customHeight="1">
      <c r="A136" s="1166"/>
      <c r="B136" s="1139"/>
      <c r="C136" s="1346"/>
      <c r="D136" s="1139"/>
      <c r="E136" s="1143"/>
      <c r="F136" s="1511" t="s">
        <v>2273</v>
      </c>
      <c r="G136" s="1552">
        <v>40000</v>
      </c>
      <c r="H136" s="1168" t="s">
        <v>21</v>
      </c>
      <c r="I136" s="1553">
        <v>1</v>
      </c>
      <c r="J136" s="1168"/>
      <c r="K136" s="1168"/>
      <c r="L136" s="1554"/>
      <c r="M136" s="1168"/>
      <c r="N136" s="692"/>
      <c r="O136" s="692" t="s">
        <v>22</v>
      </c>
      <c r="P136" s="693">
        <f>ROUNDUP(G136*I136,-3)</f>
        <v>40000</v>
      </c>
      <c r="Q136" s="666"/>
      <c r="R136" s="666"/>
      <c r="S136" s="667"/>
      <c r="T136" s="668"/>
      <c r="V136" s="1555"/>
      <c r="AA136" s="1137">
        <v>0</v>
      </c>
    </row>
    <row r="137" spans="1:27" s="1137" customFormat="1" ht="15" customHeight="1">
      <c r="A137" s="1166"/>
      <c r="B137" s="1139"/>
      <c r="C137" s="1346"/>
      <c r="D137" s="1139"/>
      <c r="E137" s="1143"/>
      <c r="F137" s="1297" t="s">
        <v>2819</v>
      </c>
      <c r="G137" s="1556">
        <v>85000</v>
      </c>
      <c r="H137" s="1136" t="s">
        <v>21</v>
      </c>
      <c r="I137" s="1557">
        <v>4</v>
      </c>
      <c r="J137" s="1136" t="s">
        <v>21</v>
      </c>
      <c r="K137" s="1558">
        <v>1</v>
      </c>
      <c r="L137" s="1559"/>
      <c r="M137" s="1136"/>
      <c r="N137" s="1537"/>
      <c r="O137" s="1537" t="s">
        <v>22</v>
      </c>
      <c r="P137" s="1560">
        <f>ROUNDUP(G137*I137*K137,-3)</f>
        <v>340000</v>
      </c>
      <c r="Q137" s="1561"/>
      <c r="R137" s="1561"/>
      <c r="S137" s="1562"/>
      <c r="T137" s="1563"/>
    </row>
    <row r="138" spans="1:27" s="1137" customFormat="1" ht="15" customHeight="1">
      <c r="A138" s="1166"/>
      <c r="B138" s="1139"/>
      <c r="C138" s="1346"/>
      <c r="D138" s="1139"/>
      <c r="E138" s="3637" t="s">
        <v>2999</v>
      </c>
      <c r="F138" s="3638"/>
      <c r="G138" s="3638"/>
      <c r="H138" s="3638"/>
      <c r="I138" s="3638"/>
      <c r="J138" s="3638"/>
      <c r="K138" s="3638"/>
      <c r="L138" s="3638"/>
      <c r="M138" s="3638"/>
      <c r="N138" s="3638"/>
      <c r="O138" s="3638"/>
      <c r="P138" s="3639"/>
      <c r="Q138" s="1538">
        <f>P139</f>
        <v>360000</v>
      </c>
      <c r="R138" s="1538">
        <f>R139</f>
        <v>2400000</v>
      </c>
      <c r="S138" s="1050">
        <f>Q138-R138</f>
        <v>-2040000</v>
      </c>
      <c r="T138" s="1540">
        <f>S138/R138</f>
        <v>-0.85</v>
      </c>
    </row>
    <row r="139" spans="1:27" s="1137" customFormat="1" ht="15" customHeight="1">
      <c r="A139" s="1166"/>
      <c r="B139" s="1139"/>
      <c r="C139" s="1346"/>
      <c r="D139" s="1139"/>
      <c r="E139" s="1143"/>
      <c r="F139" s="1507" t="s">
        <v>2275</v>
      </c>
      <c r="G139" s="686"/>
      <c r="H139" s="679"/>
      <c r="I139" s="679"/>
      <c r="J139" s="679"/>
      <c r="K139" s="679"/>
      <c r="L139" s="1508"/>
      <c r="M139" s="679"/>
      <c r="N139" s="687"/>
      <c r="O139" s="687"/>
      <c r="P139" s="681">
        <f>SUM(P140:P140)</f>
        <v>360000</v>
      </c>
      <c r="Q139" s="653">
        <f>P139</f>
        <v>360000</v>
      </c>
      <c r="R139" s="653">
        <v>2400000</v>
      </c>
      <c r="S139" s="654">
        <f>Q139-R139</f>
        <v>-2040000</v>
      </c>
      <c r="T139" s="655">
        <f>S139/R139</f>
        <v>-0.85</v>
      </c>
      <c r="AA139" s="1137">
        <v>2400000</v>
      </c>
    </row>
    <row r="140" spans="1:27" s="1137" customFormat="1" ht="15" customHeight="1">
      <c r="A140" s="1166"/>
      <c r="B140" s="1139"/>
      <c r="C140" s="1135"/>
      <c r="D140" s="1296"/>
      <c r="E140" s="3318"/>
      <c r="F140" s="1442" t="s">
        <v>2818</v>
      </c>
      <c r="G140" s="1580">
        <v>30000</v>
      </c>
      <c r="H140" s="1444" t="s">
        <v>21</v>
      </c>
      <c r="I140" s="1581">
        <v>12</v>
      </c>
      <c r="J140" s="1444"/>
      <c r="K140" s="1529"/>
      <c r="L140" s="1582"/>
      <c r="M140" s="709"/>
      <c r="N140" s="710"/>
      <c r="O140" s="710" t="s">
        <v>22</v>
      </c>
      <c r="P140" s="896">
        <f>ROUNDUP(G140*I140,-3)</f>
        <v>360000</v>
      </c>
      <c r="Q140" s="712"/>
      <c r="R140" s="712"/>
      <c r="S140" s="713"/>
      <c r="T140" s="714"/>
    </row>
    <row r="141" spans="1:27" ht="14.45" customHeight="1">
      <c r="A141" s="778"/>
      <c r="B141" s="786"/>
      <c r="C141" s="3801" t="s">
        <v>3177</v>
      </c>
      <c r="D141" s="3802"/>
      <c r="E141" s="3802"/>
      <c r="F141" s="3802"/>
      <c r="G141" s="3802"/>
      <c r="H141" s="3802"/>
      <c r="I141" s="3802"/>
      <c r="J141" s="3802"/>
      <c r="K141" s="3802"/>
      <c r="L141" s="3802"/>
      <c r="M141" s="3802"/>
      <c r="N141" s="3802"/>
      <c r="O141" s="3802"/>
      <c r="P141" s="3803"/>
      <c r="Q141" s="866">
        <f>SUM(Q142,Q148,Q161)</f>
        <v>39480000</v>
      </c>
      <c r="R141" s="866">
        <f>SUM(R142,R148,R161)</f>
        <v>34620000</v>
      </c>
      <c r="S141" s="924">
        <f>Q141-R141</f>
        <v>4860000</v>
      </c>
      <c r="T141" s="2132">
        <f>S141/R141</f>
        <v>0.14038128249566725</v>
      </c>
    </row>
    <row r="142" spans="1:27" ht="14.45" customHeight="1">
      <c r="A142" s="778"/>
      <c r="B142" s="786"/>
      <c r="C142" s="1565"/>
      <c r="D142" s="1144" t="s">
        <v>2277</v>
      </c>
      <c r="E142" s="2229"/>
      <c r="F142" s="1269"/>
      <c r="G142" s="636"/>
      <c r="H142" s="635"/>
      <c r="I142" s="635"/>
      <c r="J142" s="635"/>
      <c r="K142" s="635"/>
      <c r="L142" s="637"/>
      <c r="M142" s="637"/>
      <c r="N142" s="637"/>
      <c r="O142" s="637"/>
      <c r="P142" s="635"/>
      <c r="Q142" s="638">
        <f>Q143</f>
        <v>18240000</v>
      </c>
      <c r="R142" s="638">
        <f>R143</f>
        <v>18000000</v>
      </c>
      <c r="S142" s="793">
        <f>Q142-R142</f>
        <v>240000</v>
      </c>
      <c r="T142" s="873">
        <f>S142/R142</f>
        <v>1.3333333333333334E-2</v>
      </c>
      <c r="AA142" s="128">
        <v>34620000</v>
      </c>
    </row>
    <row r="143" spans="1:27" ht="14.45" customHeight="1">
      <c r="A143" s="778"/>
      <c r="B143" s="786"/>
      <c r="C143" s="792"/>
      <c r="D143" s="786"/>
      <c r="E143" s="3637" t="s">
        <v>3010</v>
      </c>
      <c r="F143" s="3638"/>
      <c r="G143" s="3638"/>
      <c r="H143" s="3638"/>
      <c r="I143" s="3638"/>
      <c r="J143" s="3638"/>
      <c r="K143" s="3638"/>
      <c r="L143" s="3638"/>
      <c r="M143" s="3638"/>
      <c r="N143" s="3638"/>
      <c r="O143" s="3638"/>
      <c r="P143" s="3639"/>
      <c r="Q143" s="645">
        <f>P144</f>
        <v>18240000</v>
      </c>
      <c r="R143" s="645">
        <v>18000000</v>
      </c>
      <c r="S143" s="646">
        <f>Q143-R143</f>
        <v>240000</v>
      </c>
      <c r="T143" s="647">
        <f>S143/R143</f>
        <v>1.3333333333333334E-2</v>
      </c>
      <c r="AA143" s="128">
        <v>18000000</v>
      </c>
    </row>
    <row r="144" spans="1:27" ht="14.45" customHeight="1">
      <c r="A144" s="778"/>
      <c r="B144" s="786"/>
      <c r="C144" s="792"/>
      <c r="D144" s="786"/>
      <c r="F144" s="1507" t="s">
        <v>757</v>
      </c>
      <c r="G144" s="686"/>
      <c r="H144" s="679"/>
      <c r="I144" s="679"/>
      <c r="J144" s="679"/>
      <c r="K144" s="679"/>
      <c r="L144" s="1508"/>
      <c r="M144" s="679"/>
      <c r="N144" s="687"/>
      <c r="O144" s="687"/>
      <c r="P144" s="681">
        <f>SUM(P145:P147)</f>
        <v>18240000</v>
      </c>
      <c r="Q144" s="653">
        <f>P144</f>
        <v>18240000</v>
      </c>
      <c r="R144" s="653">
        <v>18000000</v>
      </c>
      <c r="S144" s="654">
        <f>Q144-R144</f>
        <v>240000</v>
      </c>
      <c r="T144" s="655">
        <f>S144/R144</f>
        <v>1.3333333333333334E-2</v>
      </c>
      <c r="W144" s="128">
        <v>18000000</v>
      </c>
      <c r="AA144" s="128">
        <v>18000000</v>
      </c>
    </row>
    <row r="145" spans="1:27" ht="14.45" customHeight="1">
      <c r="A145" s="778"/>
      <c r="B145" s="786"/>
      <c r="C145" s="792"/>
      <c r="D145" s="786"/>
      <c r="F145" s="1511" t="s">
        <v>2278</v>
      </c>
      <c r="G145" s="880">
        <v>1200000</v>
      </c>
      <c r="H145" s="2522" t="s">
        <v>21</v>
      </c>
      <c r="I145" s="1530">
        <v>12</v>
      </c>
      <c r="J145" s="2522"/>
      <c r="K145" s="1566"/>
      <c r="L145" s="1510"/>
      <c r="M145" s="881"/>
      <c r="N145" s="701"/>
      <c r="O145" s="701" t="s">
        <v>22</v>
      </c>
      <c r="P145" s="882">
        <f>ROUNDUP(G145*I145,-3)</f>
        <v>14400000</v>
      </c>
      <c r="Q145" s="694"/>
      <c r="R145" s="694"/>
      <c r="S145" s="695"/>
      <c r="T145" s="696"/>
      <c r="AA145" s="128">
        <v>18000000</v>
      </c>
    </row>
    <row r="146" spans="1:27" ht="14.45" customHeight="1">
      <c r="A146" s="778"/>
      <c r="B146" s="786"/>
      <c r="C146" s="792"/>
      <c r="D146" s="786"/>
      <c r="E146" s="3282"/>
      <c r="F146" s="1511" t="s">
        <v>2279</v>
      </c>
      <c r="G146" s="880">
        <v>260000</v>
      </c>
      <c r="H146" s="2522" t="s">
        <v>21</v>
      </c>
      <c r="I146" s="1530">
        <v>12</v>
      </c>
      <c r="J146" s="2522"/>
      <c r="K146" s="1566"/>
      <c r="L146" s="1510"/>
      <c r="M146" s="881"/>
      <c r="N146" s="701"/>
      <c r="O146" s="701" t="s">
        <v>22</v>
      </c>
      <c r="P146" s="882">
        <f>ROUNDUP(G146*I146,-3)</f>
        <v>3120000</v>
      </c>
      <c r="Q146" s="694"/>
      <c r="R146" s="694"/>
      <c r="S146" s="695"/>
      <c r="T146" s="696"/>
    </row>
    <row r="147" spans="1:27" ht="14.45" customHeight="1">
      <c r="A147" s="778"/>
      <c r="B147" s="786"/>
      <c r="C147" s="792"/>
      <c r="D147" s="786"/>
      <c r="E147" s="3283"/>
      <c r="F147" s="1509" t="s">
        <v>1220</v>
      </c>
      <c r="G147" s="702">
        <v>60000</v>
      </c>
      <c r="H147" s="2522" t="s">
        <v>21</v>
      </c>
      <c r="I147" s="1530">
        <v>12</v>
      </c>
      <c r="J147" s="1567"/>
      <c r="K147" s="1566"/>
      <c r="L147" s="1510"/>
      <c r="M147" s="881"/>
      <c r="N147" s="701"/>
      <c r="O147" s="701" t="s">
        <v>22</v>
      </c>
      <c r="P147" s="882">
        <f>ROUNDUP(G147*I147,-3)</f>
        <v>720000</v>
      </c>
      <c r="Q147" s="694"/>
      <c r="R147" s="694"/>
      <c r="S147" s="695"/>
      <c r="T147" s="696"/>
    </row>
    <row r="148" spans="1:27" s="1137" customFormat="1" ht="15" customHeight="1">
      <c r="A148" s="1166"/>
      <c r="B148" s="1139"/>
      <c r="C148" s="1168"/>
      <c r="D148" s="1144" t="s">
        <v>2280</v>
      </c>
      <c r="E148" s="3296"/>
      <c r="F148" s="1373"/>
      <c r="G148" s="1146"/>
      <c r="H148" s="1145"/>
      <c r="I148" s="1145"/>
      <c r="J148" s="1145"/>
      <c r="K148" s="1145"/>
      <c r="L148" s="1374"/>
      <c r="M148" s="1145"/>
      <c r="N148" s="1147"/>
      <c r="O148" s="1147"/>
      <c r="P148" s="1375"/>
      <c r="Q148" s="1148">
        <f>Q149+Q152+Q155+Q158</f>
        <v>2040000</v>
      </c>
      <c r="R148" s="1148">
        <f>R149+R152+R155+R158</f>
        <v>2220000</v>
      </c>
      <c r="S148" s="1149">
        <f>Q148-R148</f>
        <v>-180000</v>
      </c>
      <c r="T148" s="1376">
        <f>S148/R148</f>
        <v>-8.1081081081081086E-2</v>
      </c>
    </row>
    <row r="149" spans="1:27" ht="14.45" customHeight="1">
      <c r="A149" s="778"/>
      <c r="B149" s="786"/>
      <c r="C149" s="792"/>
      <c r="D149" s="786"/>
      <c r="E149" s="3637" t="s">
        <v>3155</v>
      </c>
      <c r="F149" s="3638"/>
      <c r="G149" s="3638"/>
      <c r="H149" s="3638"/>
      <c r="I149" s="3638"/>
      <c r="J149" s="3638"/>
      <c r="K149" s="3638"/>
      <c r="L149" s="3638"/>
      <c r="M149" s="3638"/>
      <c r="N149" s="3638"/>
      <c r="O149" s="3638"/>
      <c r="P149" s="3639"/>
      <c r="Q149" s="645">
        <f>P150</f>
        <v>600000</v>
      </c>
      <c r="R149" s="645">
        <v>0</v>
      </c>
      <c r="S149" s="646">
        <f>Q149-R149</f>
        <v>600000</v>
      </c>
      <c r="T149" s="647"/>
      <c r="AA149" s="128">
        <v>2220000</v>
      </c>
    </row>
    <row r="150" spans="1:27">
      <c r="A150" s="778"/>
      <c r="B150" s="786"/>
      <c r="C150" s="792"/>
      <c r="D150" s="786"/>
      <c r="F150" s="1507" t="s">
        <v>56</v>
      </c>
      <c r="G150" s="686"/>
      <c r="H150" s="679"/>
      <c r="I150" s="679"/>
      <c r="J150" s="679"/>
      <c r="K150" s="679"/>
      <c r="L150" s="1508"/>
      <c r="M150" s="679"/>
      <c r="N150" s="687"/>
      <c r="O150" s="687"/>
      <c r="P150" s="681">
        <f>SUM(P151)</f>
        <v>600000</v>
      </c>
      <c r="Q150" s="653">
        <f>P150</f>
        <v>600000</v>
      </c>
      <c r="R150" s="653">
        <v>0</v>
      </c>
      <c r="S150" s="654">
        <f>Q150-R150</f>
        <v>600000</v>
      </c>
      <c r="T150" s="655"/>
      <c r="AA150" s="128">
        <v>0</v>
      </c>
    </row>
    <row r="151" spans="1:27">
      <c r="A151" s="778"/>
      <c r="B151" s="786"/>
      <c r="C151" s="792"/>
      <c r="D151" s="786"/>
      <c r="F151" s="1511" t="s">
        <v>2286</v>
      </c>
      <c r="G151" s="1568">
        <v>50000</v>
      </c>
      <c r="H151" s="1168" t="s">
        <v>21</v>
      </c>
      <c r="I151" s="1530">
        <v>12</v>
      </c>
      <c r="J151" s="1569"/>
      <c r="K151" s="1566"/>
      <c r="L151" s="1570"/>
      <c r="M151" s="1571"/>
      <c r="N151" s="692"/>
      <c r="O151" s="692" t="s">
        <v>22</v>
      </c>
      <c r="P151" s="693">
        <f>ROUNDUP(G151*I151,-3)</f>
        <v>600000</v>
      </c>
      <c r="Q151" s="666"/>
      <c r="R151" s="666"/>
      <c r="S151" s="667"/>
      <c r="T151" s="668"/>
      <c r="W151" s="1120"/>
      <c r="AA151" s="128">
        <v>0</v>
      </c>
    </row>
    <row r="152" spans="1:27" s="1137" customFormat="1" ht="15" customHeight="1">
      <c r="A152" s="1482"/>
      <c r="B152" s="1296"/>
      <c r="C152" s="1136"/>
      <c r="D152" s="1296"/>
      <c r="E152" s="3637" t="s">
        <v>213</v>
      </c>
      <c r="F152" s="3638"/>
      <c r="G152" s="3638"/>
      <c r="H152" s="3638"/>
      <c r="I152" s="3638"/>
      <c r="J152" s="3638"/>
      <c r="K152" s="3638"/>
      <c r="L152" s="3638"/>
      <c r="M152" s="3638"/>
      <c r="N152" s="3638"/>
      <c r="O152" s="3638"/>
      <c r="P152" s="3639"/>
      <c r="Q152" s="1154">
        <f>P153</f>
        <v>240000</v>
      </c>
      <c r="R152" s="1154">
        <v>0</v>
      </c>
      <c r="S152" s="1155">
        <f>Q152-R152</f>
        <v>240000</v>
      </c>
      <c r="T152" s="647"/>
    </row>
    <row r="153" spans="1:27" s="1137" customFormat="1" ht="15" customHeight="1">
      <c r="A153" s="1166"/>
      <c r="B153" s="1139"/>
      <c r="C153" s="1168"/>
      <c r="D153" s="1139"/>
      <c r="E153" s="1143"/>
      <c r="F153" s="1507" t="s">
        <v>66</v>
      </c>
      <c r="G153" s="686"/>
      <c r="H153" s="679"/>
      <c r="I153" s="679"/>
      <c r="J153" s="679"/>
      <c r="K153" s="679"/>
      <c r="L153" s="1508"/>
      <c r="M153" s="679"/>
      <c r="N153" s="687"/>
      <c r="O153" s="687"/>
      <c r="P153" s="681">
        <f>P154</f>
        <v>240000</v>
      </c>
      <c r="Q153" s="653">
        <f>P153</f>
        <v>240000</v>
      </c>
      <c r="R153" s="653">
        <v>0</v>
      </c>
      <c r="S153" s="654">
        <f>Q153-R153</f>
        <v>240000</v>
      </c>
      <c r="T153" s="655"/>
      <c r="AA153" s="1137">
        <v>0</v>
      </c>
    </row>
    <row r="154" spans="1:27" s="1137" customFormat="1" ht="15" customHeight="1">
      <c r="A154" s="1166"/>
      <c r="B154" s="1139"/>
      <c r="C154" s="1168"/>
      <c r="D154" s="1139"/>
      <c r="E154" s="3306"/>
      <c r="F154" s="1511" t="s">
        <v>67</v>
      </c>
      <c r="G154" s="880">
        <v>20000</v>
      </c>
      <c r="H154" s="691" t="s">
        <v>21</v>
      </c>
      <c r="I154" s="1530">
        <v>12</v>
      </c>
      <c r="J154" s="691"/>
      <c r="K154" s="1566"/>
      <c r="L154" s="1510"/>
      <c r="M154" s="881"/>
      <c r="N154" s="701"/>
      <c r="O154" s="701" t="s">
        <v>22</v>
      </c>
      <c r="P154" s="882">
        <f>ROUNDUP(G154*I154,-3)</f>
        <v>240000</v>
      </c>
      <c r="Q154" s="694"/>
      <c r="R154" s="694"/>
      <c r="S154" s="695"/>
      <c r="T154" s="696"/>
      <c r="AA154" s="1137">
        <v>0</v>
      </c>
    </row>
    <row r="155" spans="1:27" ht="14.45" customHeight="1">
      <c r="A155" s="778"/>
      <c r="B155" s="786"/>
      <c r="C155" s="792"/>
      <c r="D155" s="786"/>
      <c r="E155" s="3637" t="s">
        <v>188</v>
      </c>
      <c r="F155" s="3638"/>
      <c r="G155" s="3638"/>
      <c r="H155" s="3638"/>
      <c r="I155" s="3638"/>
      <c r="J155" s="3638"/>
      <c r="K155" s="3638"/>
      <c r="L155" s="3638"/>
      <c r="M155" s="3638"/>
      <c r="N155" s="3638"/>
      <c r="O155" s="3638"/>
      <c r="P155" s="3639"/>
      <c r="Q155" s="645">
        <f>P156</f>
        <v>1080000</v>
      </c>
      <c r="R155" s="645">
        <v>2000000</v>
      </c>
      <c r="S155" s="646">
        <f>Q155-R155</f>
        <v>-920000</v>
      </c>
      <c r="T155" s="647">
        <f>S155/R155</f>
        <v>-0.46</v>
      </c>
    </row>
    <row r="156" spans="1:27" ht="14.45" customHeight="1">
      <c r="A156" s="778"/>
      <c r="B156" s="786"/>
      <c r="C156" s="792"/>
      <c r="D156" s="786"/>
      <c r="F156" s="1507" t="s">
        <v>1823</v>
      </c>
      <c r="G156" s="686"/>
      <c r="H156" s="679"/>
      <c r="I156" s="679"/>
      <c r="J156" s="679"/>
      <c r="K156" s="679"/>
      <c r="L156" s="1508"/>
      <c r="M156" s="679"/>
      <c r="N156" s="687"/>
      <c r="O156" s="687"/>
      <c r="P156" s="681">
        <f>SUM(P157)</f>
        <v>1080000</v>
      </c>
      <c r="Q156" s="653">
        <f>P156</f>
        <v>1080000</v>
      </c>
      <c r="R156" s="653">
        <v>2000000</v>
      </c>
      <c r="S156" s="654">
        <f>Q156-R156</f>
        <v>-920000</v>
      </c>
      <c r="T156" s="655">
        <f>S156/R156</f>
        <v>-0.46</v>
      </c>
      <c r="AA156" s="128">
        <v>2000000</v>
      </c>
    </row>
    <row r="157" spans="1:27" ht="14.25" customHeight="1">
      <c r="A157" s="778"/>
      <c r="B157" s="786"/>
      <c r="C157" s="792"/>
      <c r="D157" s="786"/>
      <c r="E157" s="3282"/>
      <c r="F157" s="1511" t="s">
        <v>1226</v>
      </c>
      <c r="G157" s="880">
        <v>540000</v>
      </c>
      <c r="H157" s="691" t="s">
        <v>21</v>
      </c>
      <c r="I157" s="1546">
        <v>2</v>
      </c>
      <c r="J157" s="691"/>
      <c r="K157" s="881"/>
      <c r="L157" s="1510"/>
      <c r="M157" s="881"/>
      <c r="N157" s="701"/>
      <c r="O157" s="701" t="s">
        <v>22</v>
      </c>
      <c r="P157" s="882">
        <f>ROUNDUP(G157*I157,-3)</f>
        <v>1080000</v>
      </c>
      <c r="Q157" s="694"/>
      <c r="R157" s="694"/>
      <c r="S157" s="695"/>
      <c r="T157" s="696"/>
      <c r="AA157" s="128">
        <v>2000000</v>
      </c>
    </row>
    <row r="158" spans="1:27" ht="14.45" customHeight="1">
      <c r="A158" s="778"/>
      <c r="B158" s="786"/>
      <c r="C158" s="792"/>
      <c r="D158" s="786"/>
      <c r="E158" s="3637" t="s">
        <v>3004</v>
      </c>
      <c r="F158" s="3638"/>
      <c r="G158" s="3638"/>
      <c r="H158" s="3638"/>
      <c r="I158" s="3638"/>
      <c r="J158" s="3638"/>
      <c r="K158" s="3638"/>
      <c r="L158" s="3638"/>
      <c r="M158" s="3638"/>
      <c r="N158" s="3638"/>
      <c r="O158" s="3638"/>
      <c r="P158" s="3639"/>
      <c r="Q158" s="645">
        <f>P159</f>
        <v>120000</v>
      </c>
      <c r="R158" s="645">
        <v>220000</v>
      </c>
      <c r="S158" s="646">
        <f>Q158-R158</f>
        <v>-100000</v>
      </c>
      <c r="T158" s="647">
        <f>S158/R158</f>
        <v>-0.45454545454545453</v>
      </c>
    </row>
    <row r="159" spans="1:27" ht="14.45" customHeight="1">
      <c r="A159" s="778"/>
      <c r="B159" s="786"/>
      <c r="C159" s="792"/>
      <c r="D159" s="786"/>
      <c r="F159" s="1507" t="s">
        <v>2281</v>
      </c>
      <c r="G159" s="686"/>
      <c r="H159" s="679"/>
      <c r="I159" s="679"/>
      <c r="J159" s="679"/>
      <c r="K159" s="679"/>
      <c r="L159" s="1508"/>
      <c r="M159" s="679"/>
      <c r="N159" s="687"/>
      <c r="O159" s="687"/>
      <c r="P159" s="681">
        <f>SUM(P160)</f>
        <v>120000</v>
      </c>
      <c r="Q159" s="653">
        <f>P159</f>
        <v>120000</v>
      </c>
      <c r="R159" s="653">
        <v>220000</v>
      </c>
      <c r="S159" s="654">
        <f>Q159-R159</f>
        <v>-100000</v>
      </c>
      <c r="T159" s="655">
        <f>S159/R159</f>
        <v>-0.45454545454545453</v>
      </c>
      <c r="AA159" s="128">
        <v>220000</v>
      </c>
    </row>
    <row r="160" spans="1:27" ht="14.45" customHeight="1">
      <c r="A160" s="778"/>
      <c r="B160" s="786"/>
      <c r="C160" s="792"/>
      <c r="D160" s="846"/>
      <c r="E160" s="3312"/>
      <c r="F160" s="1531" t="s">
        <v>2282</v>
      </c>
      <c r="G160" s="893">
        <v>10000</v>
      </c>
      <c r="H160" s="709" t="s">
        <v>21</v>
      </c>
      <c r="I160" s="1529">
        <v>12</v>
      </c>
      <c r="J160" s="709"/>
      <c r="K160" s="1529"/>
      <c r="L160" s="1532"/>
      <c r="M160" s="895"/>
      <c r="N160" s="710"/>
      <c r="O160" s="710" t="s">
        <v>22</v>
      </c>
      <c r="P160" s="896">
        <f>ROUNDUP(G160*I160,-3)</f>
        <v>120000</v>
      </c>
      <c r="Q160" s="712"/>
      <c r="R160" s="712"/>
      <c r="S160" s="713"/>
      <c r="T160" s="714"/>
      <c r="AA160" s="128">
        <v>220000</v>
      </c>
    </row>
    <row r="161" spans="1:27" s="1137" customFormat="1" ht="15" customHeight="1">
      <c r="A161" s="778"/>
      <c r="B161" s="786"/>
      <c r="C161" s="792"/>
      <c r="D161" s="1372" t="s">
        <v>2861</v>
      </c>
      <c r="E161" s="3296"/>
      <c r="F161" s="1373"/>
      <c r="G161" s="1146"/>
      <c r="H161" s="1145"/>
      <c r="I161" s="1145"/>
      <c r="J161" s="1145"/>
      <c r="K161" s="1145"/>
      <c r="L161" s="1374"/>
      <c r="M161" s="1145"/>
      <c r="N161" s="1147"/>
      <c r="O161" s="1147"/>
      <c r="P161" s="1375"/>
      <c r="Q161" s="1148">
        <f>Q162+Q165+Q171</f>
        <v>19200000</v>
      </c>
      <c r="R161" s="1148">
        <f>R162+R165+R171</f>
        <v>14400000</v>
      </c>
      <c r="S161" s="1149">
        <f>Q161-R161</f>
        <v>4800000</v>
      </c>
      <c r="T161" s="1376">
        <f>S161/R161</f>
        <v>0.33333333333333331</v>
      </c>
    </row>
    <row r="162" spans="1:27" ht="14.45" customHeight="1">
      <c r="A162" s="778"/>
      <c r="B162" s="786"/>
      <c r="C162" s="792"/>
      <c r="D162" s="786"/>
      <c r="E162" s="3637" t="s">
        <v>3156</v>
      </c>
      <c r="F162" s="3638"/>
      <c r="G162" s="3638"/>
      <c r="H162" s="3638"/>
      <c r="I162" s="3638"/>
      <c r="J162" s="3638"/>
      <c r="K162" s="3638"/>
      <c r="L162" s="3638"/>
      <c r="M162" s="3638"/>
      <c r="N162" s="3638"/>
      <c r="O162" s="3638"/>
      <c r="P162" s="3639"/>
      <c r="Q162" s="645">
        <f>P163</f>
        <v>15600000</v>
      </c>
      <c r="R162" s="645">
        <v>14400000</v>
      </c>
      <c r="S162" s="646">
        <f>Q162-R162</f>
        <v>1200000</v>
      </c>
      <c r="T162" s="647">
        <f>S162/R162</f>
        <v>8.3333333333333329E-2</v>
      </c>
      <c r="AA162" s="128">
        <v>14400000</v>
      </c>
    </row>
    <row r="163" spans="1:27" ht="14.45" customHeight="1">
      <c r="A163" s="778"/>
      <c r="B163" s="1010"/>
      <c r="C163" s="1572"/>
      <c r="D163" s="786"/>
      <c r="E163" s="786"/>
      <c r="F163" s="1507" t="s">
        <v>2283</v>
      </c>
      <c r="G163" s="686"/>
      <c r="H163" s="679"/>
      <c r="I163" s="679"/>
      <c r="J163" s="679"/>
      <c r="K163" s="679"/>
      <c r="L163" s="1508"/>
      <c r="M163" s="679"/>
      <c r="N163" s="687"/>
      <c r="O163" s="687"/>
      <c r="P163" s="681">
        <f>SUM(P164)</f>
        <v>15600000</v>
      </c>
      <c r="Q163" s="653">
        <f>P163</f>
        <v>15600000</v>
      </c>
      <c r="R163" s="653">
        <v>14400000</v>
      </c>
      <c r="S163" s="654">
        <f>Q163-R163</f>
        <v>1200000</v>
      </c>
      <c r="T163" s="655">
        <f>S163/R163</f>
        <v>8.3333333333333329E-2</v>
      </c>
      <c r="AA163" s="128">
        <v>14400000</v>
      </c>
    </row>
    <row r="164" spans="1:27" ht="14.45" customHeight="1">
      <c r="A164" s="778"/>
      <c r="B164" s="1010"/>
      <c r="C164" s="1572"/>
      <c r="D164" s="786"/>
      <c r="E164" s="3290"/>
      <c r="F164" s="1531" t="s">
        <v>2284</v>
      </c>
      <c r="G164" s="893">
        <v>1300000</v>
      </c>
      <c r="H164" s="709" t="s">
        <v>21</v>
      </c>
      <c r="I164" s="1529">
        <v>12</v>
      </c>
      <c r="J164" s="709"/>
      <c r="K164" s="1573"/>
      <c r="L164" s="1532"/>
      <c r="M164" s="895"/>
      <c r="N164" s="710"/>
      <c r="O164" s="710" t="s">
        <v>22</v>
      </c>
      <c r="P164" s="896">
        <v>15600000</v>
      </c>
      <c r="Q164" s="712"/>
      <c r="R164" s="712"/>
      <c r="S164" s="713"/>
      <c r="T164" s="714"/>
      <c r="AA164" s="128">
        <v>14400000</v>
      </c>
    </row>
    <row r="165" spans="1:27" s="1137" customFormat="1" ht="15" customHeight="1">
      <c r="A165" s="1166"/>
      <c r="B165" s="1139"/>
      <c r="C165" s="1572"/>
      <c r="D165" s="786"/>
      <c r="E165" s="3637" t="s">
        <v>3157</v>
      </c>
      <c r="F165" s="3638"/>
      <c r="G165" s="3638"/>
      <c r="H165" s="3638"/>
      <c r="I165" s="3638"/>
      <c r="J165" s="3638"/>
      <c r="K165" s="3638"/>
      <c r="L165" s="3638"/>
      <c r="M165" s="3638"/>
      <c r="N165" s="3638"/>
      <c r="O165" s="3638"/>
      <c r="P165" s="3639"/>
      <c r="Q165" s="1154">
        <f>P166</f>
        <v>1800000</v>
      </c>
      <c r="R165" s="1154">
        <v>0</v>
      </c>
      <c r="S165" s="1050">
        <f>Q165-R165</f>
        <v>1800000</v>
      </c>
      <c r="T165" s="647"/>
    </row>
    <row r="166" spans="1:27" s="1137" customFormat="1" ht="15" customHeight="1">
      <c r="A166" s="1166"/>
      <c r="B166" s="1139"/>
      <c r="C166" s="1572"/>
      <c r="D166" s="786"/>
      <c r="E166" s="3306"/>
      <c r="F166" s="1507" t="s">
        <v>2272</v>
      </c>
      <c r="G166" s="686"/>
      <c r="H166" s="679"/>
      <c r="I166" s="679"/>
      <c r="J166" s="679"/>
      <c r="K166" s="679"/>
      <c r="L166" s="1508"/>
      <c r="M166" s="679"/>
      <c r="N166" s="687"/>
      <c r="O166" s="687"/>
      <c r="P166" s="681">
        <f>SUM(P167:P170)</f>
        <v>1800000</v>
      </c>
      <c r="Q166" s="653">
        <f>P166</f>
        <v>1800000</v>
      </c>
      <c r="R166" s="653">
        <v>0</v>
      </c>
      <c r="S166" s="654">
        <f>Q166-R166</f>
        <v>1800000</v>
      </c>
      <c r="T166" s="655"/>
    </row>
    <row r="167" spans="1:27" s="1137" customFormat="1" ht="15" customHeight="1">
      <c r="A167" s="1166"/>
      <c r="B167" s="1139"/>
      <c r="C167" s="1572"/>
      <c r="D167" s="786"/>
      <c r="E167" s="1143"/>
      <c r="F167" s="1511" t="s">
        <v>2273</v>
      </c>
      <c r="G167" s="702">
        <v>125000</v>
      </c>
      <c r="H167" s="691" t="s">
        <v>21</v>
      </c>
      <c r="I167" s="877">
        <v>8</v>
      </c>
      <c r="J167" s="691"/>
      <c r="K167" s="691"/>
      <c r="L167" s="1512"/>
      <c r="M167" s="691"/>
      <c r="N167" s="701"/>
      <c r="O167" s="701" t="s">
        <v>22</v>
      </c>
      <c r="P167" s="882">
        <f>ROUNDUP(G167*I167,-3)</f>
        <v>1000000</v>
      </c>
      <c r="Q167" s="694"/>
      <c r="R167" s="694"/>
      <c r="S167" s="695"/>
      <c r="T167" s="696"/>
      <c r="V167" s="1137">
        <v>1000000</v>
      </c>
      <c r="AA167" s="1137">
        <v>0</v>
      </c>
    </row>
    <row r="168" spans="1:27" s="1137" customFormat="1" ht="15" customHeight="1">
      <c r="A168" s="1166"/>
      <c r="B168" s="1139"/>
      <c r="C168" s="1346"/>
      <c r="D168" s="1139"/>
      <c r="E168" s="1143"/>
      <c r="F168" s="1277" t="s">
        <v>2819</v>
      </c>
      <c r="G168" s="702">
        <v>75000</v>
      </c>
      <c r="H168" s="691" t="s">
        <v>21</v>
      </c>
      <c r="I168" s="877">
        <v>4</v>
      </c>
      <c r="J168" s="691" t="s">
        <v>21</v>
      </c>
      <c r="K168" s="1550">
        <v>1</v>
      </c>
      <c r="L168" s="1512"/>
      <c r="M168" s="691"/>
      <c r="N168" s="701"/>
      <c r="O168" s="701" t="s">
        <v>22</v>
      </c>
      <c r="P168" s="882">
        <f>ROUNDUP(G168*I168*K168,-3)</f>
        <v>300000</v>
      </c>
      <c r="Q168" s="694"/>
      <c r="R168" s="694"/>
      <c r="S168" s="695"/>
      <c r="T168" s="696"/>
    </row>
    <row r="169" spans="1:27" s="1137" customFormat="1" ht="15" customHeight="1">
      <c r="A169" s="1166"/>
      <c r="B169" s="1139"/>
      <c r="C169" s="1346"/>
      <c r="D169" s="1139"/>
      <c r="E169" s="1143"/>
      <c r="F169" s="1511" t="s">
        <v>2274</v>
      </c>
      <c r="G169" s="702">
        <v>200000</v>
      </c>
      <c r="H169" s="691" t="s">
        <v>21</v>
      </c>
      <c r="I169" s="878">
        <v>1</v>
      </c>
      <c r="J169" s="691"/>
      <c r="K169" s="691"/>
      <c r="L169" s="1512"/>
      <c r="M169" s="691"/>
      <c r="N169" s="701"/>
      <c r="O169" s="701" t="s">
        <v>22</v>
      </c>
      <c r="P169" s="882">
        <f>ROUNDUP(G169*I169,-3)</f>
        <v>200000</v>
      </c>
      <c r="Q169" s="694"/>
      <c r="R169" s="694"/>
      <c r="S169" s="695"/>
      <c r="T169" s="696"/>
      <c r="V169" s="1137">
        <f>V167/8</f>
        <v>125000</v>
      </c>
    </row>
    <row r="170" spans="1:27" s="1137" customFormat="1" ht="15" customHeight="1">
      <c r="A170" s="1166"/>
      <c r="B170" s="1139"/>
      <c r="C170" s="1346"/>
      <c r="D170" s="1139"/>
      <c r="E170" s="1143"/>
      <c r="F170" s="1511" t="s">
        <v>2271</v>
      </c>
      <c r="G170" s="702">
        <v>300000</v>
      </c>
      <c r="H170" s="691" t="s">
        <v>21</v>
      </c>
      <c r="I170" s="878">
        <v>1</v>
      </c>
      <c r="J170" s="691"/>
      <c r="K170" s="691"/>
      <c r="L170" s="1512"/>
      <c r="M170" s="691"/>
      <c r="N170" s="701"/>
      <c r="O170" s="701" t="s">
        <v>22</v>
      </c>
      <c r="P170" s="882">
        <f>ROUNDUP(G170*I170,-3)</f>
        <v>300000</v>
      </c>
      <c r="Q170" s="694"/>
      <c r="R170" s="712"/>
      <c r="S170" s="713"/>
      <c r="T170" s="714"/>
    </row>
    <row r="171" spans="1:27" s="1137" customFormat="1" ht="15" customHeight="1">
      <c r="A171" s="1166"/>
      <c r="B171" s="1139"/>
      <c r="C171" s="1346"/>
      <c r="D171" s="1139"/>
      <c r="E171" s="3637" t="s">
        <v>3158</v>
      </c>
      <c r="F171" s="3638"/>
      <c r="G171" s="3638"/>
      <c r="H171" s="3638"/>
      <c r="I171" s="3638"/>
      <c r="J171" s="3638"/>
      <c r="K171" s="3638"/>
      <c r="L171" s="3638"/>
      <c r="M171" s="3638"/>
      <c r="N171" s="3638"/>
      <c r="O171" s="3638"/>
      <c r="P171" s="3639"/>
      <c r="Q171" s="1154">
        <f>P172</f>
        <v>1800000</v>
      </c>
      <c r="R171" s="1538">
        <v>0</v>
      </c>
      <c r="S171" s="1050">
        <f>Q171-R171</f>
        <v>1800000</v>
      </c>
      <c r="T171" s="1540"/>
    </row>
    <row r="172" spans="1:27" s="1137" customFormat="1" ht="15" customHeight="1">
      <c r="A172" s="1166"/>
      <c r="B172" s="1139"/>
      <c r="C172" s="1346"/>
      <c r="D172" s="1139"/>
      <c r="E172" s="1143"/>
      <c r="F172" s="1507" t="s">
        <v>2275</v>
      </c>
      <c r="G172" s="686"/>
      <c r="H172" s="679"/>
      <c r="I172" s="679"/>
      <c r="J172" s="679"/>
      <c r="K172" s="679"/>
      <c r="L172" s="1508"/>
      <c r="M172" s="679"/>
      <c r="N172" s="687"/>
      <c r="O172" s="687"/>
      <c r="P172" s="681">
        <f>SUM(P173:P174)</f>
        <v>1800000</v>
      </c>
      <c r="Q172" s="653">
        <f>P172</f>
        <v>1800000</v>
      </c>
      <c r="R172" s="653">
        <v>0</v>
      </c>
      <c r="S172" s="654">
        <f>Q172-R172</f>
        <v>1800000</v>
      </c>
      <c r="T172" s="655"/>
      <c r="AA172" s="1137">
        <v>2400000</v>
      </c>
    </row>
    <row r="173" spans="1:27" s="1137" customFormat="1" ht="15" customHeight="1">
      <c r="A173" s="1166"/>
      <c r="B173" s="1139"/>
      <c r="C173" s="1346"/>
      <c r="D173" s="1139"/>
      <c r="E173" s="1143"/>
      <c r="F173" s="1415" t="s">
        <v>2276</v>
      </c>
      <c r="G173" s="1459">
        <v>100000</v>
      </c>
      <c r="H173" s="1417" t="s">
        <v>21</v>
      </c>
      <c r="I173" s="1549">
        <v>12</v>
      </c>
      <c r="J173" s="1417"/>
      <c r="K173" s="1530"/>
      <c r="L173" s="1512"/>
      <c r="M173" s="691"/>
      <c r="N173" s="701"/>
      <c r="O173" s="701" t="s">
        <v>22</v>
      </c>
      <c r="P173" s="882">
        <f>ROUNDUP(G173*I173,-3)</f>
        <v>1200000</v>
      </c>
      <c r="Q173" s="694"/>
      <c r="R173" s="694"/>
      <c r="S173" s="695"/>
      <c r="T173" s="696"/>
      <c r="AA173" s="1137">
        <v>2400000</v>
      </c>
    </row>
    <row r="174" spans="1:27" s="1137" customFormat="1" ht="15" customHeight="1">
      <c r="A174" s="1166"/>
      <c r="B174" s="1139"/>
      <c r="C174" s="1135"/>
      <c r="D174" s="1296"/>
      <c r="E174" s="3318"/>
      <c r="F174" s="1442" t="s">
        <v>2817</v>
      </c>
      <c r="G174" s="1580">
        <v>50000</v>
      </c>
      <c r="H174" s="1444" t="s">
        <v>21</v>
      </c>
      <c r="I174" s="1581">
        <v>12</v>
      </c>
      <c r="J174" s="1444"/>
      <c r="K174" s="1529"/>
      <c r="L174" s="1582"/>
      <c r="M174" s="709"/>
      <c r="N174" s="710"/>
      <c r="O174" s="710" t="s">
        <v>22</v>
      </c>
      <c r="P174" s="896">
        <f>ROUNDUP(G174*I174,-3)</f>
        <v>600000</v>
      </c>
      <c r="Q174" s="712"/>
      <c r="R174" s="712"/>
      <c r="S174" s="713"/>
      <c r="T174" s="714"/>
    </row>
    <row r="175" spans="1:27" ht="15" customHeight="1">
      <c r="A175" s="778"/>
      <c r="B175" s="786"/>
      <c r="C175" s="3685" t="s">
        <v>259</v>
      </c>
      <c r="D175" s="3686"/>
      <c r="E175" s="3686"/>
      <c r="F175" s="3686"/>
      <c r="G175" s="3686"/>
      <c r="H175" s="3686"/>
      <c r="I175" s="3686"/>
      <c r="J175" s="3686"/>
      <c r="K175" s="3686"/>
      <c r="L175" s="3686"/>
      <c r="M175" s="3686"/>
      <c r="N175" s="3686"/>
      <c r="O175" s="3686"/>
      <c r="P175" s="3687"/>
      <c r="Q175" s="866">
        <f>Q176</f>
        <v>20000</v>
      </c>
      <c r="R175" s="866">
        <f>R176</f>
        <v>13000</v>
      </c>
      <c r="S175" s="924">
        <f>Q175-R175</f>
        <v>7000</v>
      </c>
      <c r="T175" s="925">
        <f>S175/R175</f>
        <v>0.53846153846153844</v>
      </c>
    </row>
    <row r="176" spans="1:27" ht="14.45" customHeight="1">
      <c r="A176" s="778"/>
      <c r="B176" s="786"/>
      <c r="C176" s="844"/>
      <c r="D176" s="635" t="s">
        <v>2285</v>
      </c>
      <c r="E176" s="2229"/>
      <c r="F176" s="1269"/>
      <c r="G176" s="636"/>
      <c r="H176" s="635"/>
      <c r="I176" s="635"/>
      <c r="J176" s="635"/>
      <c r="K176" s="635"/>
      <c r="L176" s="637"/>
      <c r="M176" s="637"/>
      <c r="N176" s="637"/>
      <c r="O176" s="637"/>
      <c r="P176" s="635"/>
      <c r="Q176" s="638">
        <f>Q177</f>
        <v>20000</v>
      </c>
      <c r="R176" s="638">
        <f>R177</f>
        <v>13000</v>
      </c>
      <c r="S176" s="793">
        <f>Q176-R176</f>
        <v>7000</v>
      </c>
      <c r="T176" s="873">
        <f>S176/R176</f>
        <v>0.53846153846153844</v>
      </c>
      <c r="AA176" s="128">
        <v>13000</v>
      </c>
    </row>
    <row r="177" spans="1:27" ht="14.45" customHeight="1">
      <c r="A177" s="778"/>
      <c r="B177" s="786"/>
      <c r="C177" s="786"/>
      <c r="D177" s="844"/>
      <c r="E177" s="3637" t="s">
        <v>2863</v>
      </c>
      <c r="F177" s="3638"/>
      <c r="G177" s="3638"/>
      <c r="H177" s="3638"/>
      <c r="I177" s="3638"/>
      <c r="J177" s="3638"/>
      <c r="K177" s="3638"/>
      <c r="L177" s="3638"/>
      <c r="M177" s="3638"/>
      <c r="N177" s="3638"/>
      <c r="O177" s="3638"/>
      <c r="P177" s="3639"/>
      <c r="Q177" s="645">
        <f>ROUNDUP(P178,-3)</f>
        <v>20000</v>
      </c>
      <c r="R177" s="645">
        <v>13000</v>
      </c>
      <c r="S177" s="646">
        <f>Q177-R177</f>
        <v>7000</v>
      </c>
      <c r="T177" s="647">
        <f>S177/R177</f>
        <v>0.53846153846153844</v>
      </c>
      <c r="AA177" s="128">
        <v>13000</v>
      </c>
    </row>
    <row r="178" spans="1:27" ht="14.45" customHeight="1">
      <c r="A178" s="778"/>
      <c r="B178" s="786"/>
      <c r="C178" s="786"/>
      <c r="D178" s="786"/>
      <c r="E178" s="844"/>
      <c r="F178" s="1507" t="s">
        <v>1277</v>
      </c>
      <c r="G178" s="686"/>
      <c r="H178" s="679"/>
      <c r="I178" s="679"/>
      <c r="J178" s="679"/>
      <c r="K178" s="679"/>
      <c r="L178" s="1508"/>
      <c r="M178" s="679"/>
      <c r="N178" s="687"/>
      <c r="O178" s="687"/>
      <c r="P178" s="681">
        <f>SUM(P179)</f>
        <v>20000</v>
      </c>
      <c r="Q178" s="653">
        <f>P178</f>
        <v>20000</v>
      </c>
      <c r="R178" s="653">
        <v>13000</v>
      </c>
      <c r="S178" s="654">
        <f>Q178-R178</f>
        <v>7000</v>
      </c>
      <c r="T178" s="655">
        <f>S178/R178</f>
        <v>0.53846153846153844</v>
      </c>
      <c r="AA178" s="128">
        <v>13000</v>
      </c>
    </row>
    <row r="179" spans="1:27" ht="14.45" customHeight="1" thickBot="1">
      <c r="A179" s="898"/>
      <c r="B179" s="899"/>
      <c r="C179" s="899"/>
      <c r="D179" s="899"/>
      <c r="E179" s="3298"/>
      <c r="F179" s="1583" t="s">
        <v>20</v>
      </c>
      <c r="G179" s="903">
        <v>20000</v>
      </c>
      <c r="H179" s="904" t="s">
        <v>21</v>
      </c>
      <c r="I179" s="1584">
        <v>1</v>
      </c>
      <c r="J179" s="904"/>
      <c r="K179" s="906"/>
      <c r="L179" s="904"/>
      <c r="M179" s="904"/>
      <c r="N179" s="907"/>
      <c r="O179" s="907" t="s">
        <v>22</v>
      </c>
      <c r="P179" s="908">
        <f>G179*I179</f>
        <v>20000</v>
      </c>
      <c r="Q179" s="909"/>
      <c r="R179" s="909"/>
      <c r="S179" s="910"/>
      <c r="T179" s="911"/>
      <c r="AA179" s="128">
        <v>13000</v>
      </c>
    </row>
    <row r="180" spans="1:27" ht="14.45" customHeight="1">
      <c r="R180" s="842"/>
    </row>
    <row r="181" spans="1:27">
      <c r="R181" s="842"/>
    </row>
    <row r="184" spans="1:27" s="842" customFormat="1">
      <c r="A184" s="128"/>
      <c r="B184" s="839"/>
      <c r="C184" s="839"/>
      <c r="D184" s="839"/>
      <c r="E184" s="897"/>
      <c r="F184" s="1256"/>
      <c r="G184" s="840"/>
      <c r="H184" s="128"/>
      <c r="I184" s="128"/>
      <c r="J184" s="128"/>
      <c r="K184" s="128"/>
      <c r="L184" s="841"/>
      <c r="M184" s="841"/>
      <c r="N184" s="841"/>
      <c r="O184" s="841"/>
      <c r="P184" s="1160"/>
      <c r="R184" s="843"/>
      <c r="S184" s="1174"/>
      <c r="T184" s="1175"/>
    </row>
    <row r="185" spans="1:27" s="842" customFormat="1">
      <c r="A185" s="128"/>
      <c r="B185" s="839"/>
      <c r="C185" s="839"/>
      <c r="D185" s="839"/>
      <c r="E185" s="897"/>
      <c r="F185" s="1256"/>
      <c r="G185" s="840"/>
      <c r="H185" s="128"/>
      <c r="I185" s="128"/>
      <c r="J185" s="128"/>
      <c r="K185" s="1160"/>
      <c r="L185" s="841"/>
      <c r="M185" s="841"/>
      <c r="N185" s="841"/>
      <c r="O185" s="841"/>
      <c r="P185" s="128"/>
      <c r="R185" s="843"/>
      <c r="S185" s="1174"/>
      <c r="T185" s="1175"/>
    </row>
    <row r="187" spans="1:27" s="842" customFormat="1">
      <c r="A187" s="128"/>
      <c r="B187" s="839"/>
      <c r="C187" s="839"/>
      <c r="D187" s="839"/>
      <c r="E187" s="897"/>
      <c r="F187" s="1256"/>
      <c r="G187" s="840"/>
      <c r="H187" s="128"/>
      <c r="I187" s="128"/>
      <c r="J187" s="128"/>
      <c r="K187" s="128"/>
      <c r="L187" s="841"/>
      <c r="M187" s="841"/>
      <c r="N187" s="841"/>
      <c r="O187" s="841"/>
      <c r="P187" s="1161"/>
      <c r="R187" s="843"/>
      <c r="S187" s="1174"/>
      <c r="T187" s="1175"/>
    </row>
  </sheetData>
  <mergeCells count="45">
    <mergeCell ref="E9:P9"/>
    <mergeCell ref="E14:P14"/>
    <mergeCell ref="A1:T1"/>
    <mergeCell ref="S2:T2"/>
    <mergeCell ref="A3:E3"/>
    <mergeCell ref="G3:P4"/>
    <mergeCell ref="Q3:Q4"/>
    <mergeCell ref="R3:R4"/>
    <mergeCell ref="S3:S4"/>
    <mergeCell ref="T3:T4"/>
    <mergeCell ref="E27:P27"/>
    <mergeCell ref="E31:P31"/>
    <mergeCell ref="E38:P38"/>
    <mergeCell ref="E41:P41"/>
    <mergeCell ref="E46:P46"/>
    <mergeCell ref="I37:J37"/>
    <mergeCell ref="I29:J29"/>
    <mergeCell ref="I33:J33"/>
    <mergeCell ref="I34:J34"/>
    <mergeCell ref="I35:J35"/>
    <mergeCell ref="I36:J36"/>
    <mergeCell ref="E80:P80"/>
    <mergeCell ref="E85:P85"/>
    <mergeCell ref="E103:P103"/>
    <mergeCell ref="E51:P51"/>
    <mergeCell ref="E54:P54"/>
    <mergeCell ref="E59:P59"/>
    <mergeCell ref="E64:P64"/>
    <mergeCell ref="E70:P70"/>
    <mergeCell ref="E177:P177"/>
    <mergeCell ref="C7:P7"/>
    <mergeCell ref="C83:P83"/>
    <mergeCell ref="C141:P141"/>
    <mergeCell ref="C175:P175"/>
    <mergeCell ref="E155:P155"/>
    <mergeCell ref="E158:P158"/>
    <mergeCell ref="E162:P162"/>
    <mergeCell ref="E165:P165"/>
    <mergeCell ref="E171:P171"/>
    <mergeCell ref="E117:P117"/>
    <mergeCell ref="E138:P138"/>
    <mergeCell ref="E143:P143"/>
    <mergeCell ref="E149:P149"/>
    <mergeCell ref="E152:P152"/>
    <mergeCell ref="E76:P7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2" fitToHeight="0" orientation="landscape" r:id="rId1"/>
  <headerFooter scaleWithDoc="0">
    <oddFooter>&amp;C&amp;P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0070C0"/>
    <pageSetUpPr fitToPage="1"/>
  </sheetPr>
  <dimension ref="A1:Y123"/>
  <sheetViews>
    <sheetView view="pageBreakPreview" zoomScale="115" zoomScaleNormal="85" zoomScaleSheetLayoutView="115" workbookViewId="0">
      <pane ySplit="8" topLeftCell="A36" activePane="bottomLeft" state="frozen"/>
      <selection activeCell="O40" sqref="O39:O40"/>
      <selection pane="bottomLeft" activeCell="P48" sqref="P48"/>
    </sheetView>
  </sheetViews>
  <sheetFormatPr defaultColWidth="9" defaultRowHeight="16.5"/>
  <cols>
    <col min="1" max="1" width="3.625" style="128" customWidth="1"/>
    <col min="2" max="4" width="3.625" style="839" customWidth="1"/>
    <col min="5" max="5" width="10.625" style="897" customWidth="1"/>
    <col min="6" max="6" width="28.375" style="1256" customWidth="1"/>
    <col min="7" max="7" width="13.625" style="840" bestFit="1" customWidth="1"/>
    <col min="8" max="8" width="2.125" style="128" customWidth="1"/>
    <col min="9" max="9" width="7.125" style="128" customWidth="1"/>
    <col min="10" max="10" width="2.125" style="128" customWidth="1"/>
    <col min="11" max="11" width="5.875" style="128" customWidth="1"/>
    <col min="12" max="12" width="2.625" style="1257" customWidth="1"/>
    <col min="13" max="13" width="5.375" style="128" customWidth="1"/>
    <col min="14" max="14" width="2.75" style="841" customWidth="1"/>
    <col min="15" max="15" width="2.625" style="841" customWidth="1"/>
    <col min="16" max="16" width="13.625" style="128" customWidth="1"/>
    <col min="17" max="17" width="10.625" style="842" customWidth="1"/>
    <col min="18" max="18" width="10.625" style="843" customWidth="1"/>
    <col min="19" max="19" width="10.625" style="1174" customWidth="1"/>
    <col min="20" max="20" width="10.625" style="1175" customWidth="1"/>
    <col min="21" max="21" width="9" style="128"/>
    <col min="22" max="22" width="12" style="128" bestFit="1" customWidth="1"/>
    <col min="23" max="23" width="10.875" style="128" bestFit="1" customWidth="1"/>
    <col min="24" max="24" width="9.125" style="128" bestFit="1" customWidth="1"/>
    <col min="25" max="16384" width="9" style="128"/>
  </cols>
  <sheetData>
    <row r="1" spans="1:25" ht="35.1" customHeight="1">
      <c r="A1" s="3679" t="s">
        <v>2100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  <c r="T1" s="3785"/>
    </row>
    <row r="2" spans="1:25" ht="15" customHeight="1" thickBot="1">
      <c r="A2" s="128" t="s">
        <v>138</v>
      </c>
      <c r="E2" s="792"/>
      <c r="S2" s="3680" t="s">
        <v>139</v>
      </c>
      <c r="T2" s="3680"/>
    </row>
    <row r="3" spans="1:25" s="841" customFormat="1" ht="14.45" customHeight="1">
      <c r="A3" s="3743" t="s">
        <v>2</v>
      </c>
      <c r="B3" s="3644"/>
      <c r="C3" s="3644"/>
      <c r="D3" s="3644"/>
      <c r="E3" s="3644"/>
      <c r="F3" s="1258"/>
      <c r="G3" s="3695" t="s">
        <v>141</v>
      </c>
      <c r="H3" s="3695"/>
      <c r="I3" s="3695"/>
      <c r="J3" s="3695"/>
      <c r="K3" s="3695"/>
      <c r="L3" s="3695"/>
      <c r="M3" s="3695"/>
      <c r="N3" s="3695"/>
      <c r="O3" s="3695"/>
      <c r="P3" s="3696"/>
      <c r="Q3" s="3699" t="s">
        <v>4</v>
      </c>
      <c r="R3" s="3701" t="s">
        <v>326</v>
      </c>
      <c r="S3" s="3703" t="s">
        <v>5</v>
      </c>
      <c r="T3" s="3705" t="s">
        <v>6</v>
      </c>
    </row>
    <row r="4" spans="1:25" s="841" customFormat="1" ht="14.45" customHeight="1" thickBot="1">
      <c r="A4" s="502" t="s">
        <v>7</v>
      </c>
      <c r="B4" s="503" t="s">
        <v>8</v>
      </c>
      <c r="C4" s="503" t="s">
        <v>9</v>
      </c>
      <c r="D4" s="503" t="s">
        <v>10</v>
      </c>
      <c r="E4" s="503" t="s">
        <v>11</v>
      </c>
      <c r="F4" s="1259" t="s">
        <v>12</v>
      </c>
      <c r="G4" s="3697"/>
      <c r="H4" s="3697"/>
      <c r="I4" s="3697"/>
      <c r="J4" s="3697"/>
      <c r="K4" s="3697"/>
      <c r="L4" s="3697"/>
      <c r="M4" s="3697"/>
      <c r="N4" s="3697"/>
      <c r="O4" s="3697"/>
      <c r="P4" s="3698"/>
      <c r="Q4" s="3700"/>
      <c r="R4" s="3702"/>
      <c r="S4" s="3704"/>
      <c r="T4" s="3706"/>
    </row>
    <row r="5" spans="1:25" ht="14.45" customHeight="1" thickBot="1">
      <c r="A5" s="1260" t="s">
        <v>499</v>
      </c>
      <c r="B5" s="1261"/>
      <c r="C5" s="1261"/>
      <c r="D5" s="1261"/>
      <c r="E5" s="1261"/>
      <c r="F5" s="1262"/>
      <c r="G5" s="612"/>
      <c r="H5" s="611"/>
      <c r="I5" s="611"/>
      <c r="J5" s="611"/>
      <c r="K5" s="611"/>
      <c r="L5" s="1263"/>
      <c r="M5" s="611"/>
      <c r="N5" s="613"/>
      <c r="O5" s="613"/>
      <c r="P5" s="611"/>
      <c r="Q5" s="614">
        <f>Q6</f>
        <v>101394000</v>
      </c>
      <c r="R5" s="614">
        <f>R6</f>
        <v>89509000</v>
      </c>
      <c r="S5" s="937">
        <f t="shared" ref="S5:S10" si="0">Q5-R5</f>
        <v>11885000</v>
      </c>
      <c r="T5" s="987">
        <f>S5/R5</f>
        <v>0.13277994391625422</v>
      </c>
      <c r="V5" s="128">
        <v>101394000</v>
      </c>
      <c r="W5" s="128">
        <v>89509000</v>
      </c>
    </row>
    <row r="6" spans="1:25" s="1371" customFormat="1" ht="14.45" customHeight="1">
      <c r="A6" s="1367"/>
      <c r="B6" s="1404" t="s">
        <v>505</v>
      </c>
      <c r="C6" s="1405"/>
      <c r="D6" s="1405"/>
      <c r="E6" s="1405"/>
      <c r="F6" s="1405"/>
      <c r="G6" s="1406"/>
      <c r="H6" s="1385"/>
      <c r="I6" s="1385"/>
      <c r="J6" s="1385"/>
      <c r="K6" s="1385"/>
      <c r="L6" s="1386"/>
      <c r="M6" s="1385"/>
      <c r="N6" s="1387"/>
      <c r="O6" s="1387"/>
      <c r="P6" s="1385"/>
      <c r="Q6" s="866">
        <f>Q7+Q76+Q105+Q114</f>
        <v>101394000</v>
      </c>
      <c r="R6" s="866">
        <f>R7+R76+R105+R114</f>
        <v>89509000</v>
      </c>
      <c r="S6" s="867">
        <f t="shared" si="0"/>
        <v>11885000</v>
      </c>
      <c r="T6" s="1407">
        <f t="shared" ref="T6:T7" si="1">S6/R6</f>
        <v>0.13277994391625422</v>
      </c>
      <c r="V6" s="1371">
        <f>Q5-V5</f>
        <v>0</v>
      </c>
      <c r="W6" s="1371">
        <f>R5-W5</f>
        <v>0</v>
      </c>
    </row>
    <row r="7" spans="1:25" s="1371" customFormat="1" ht="14.45" customHeight="1" thickBot="1">
      <c r="A7" s="1367"/>
      <c r="B7" s="1370"/>
      <c r="C7" s="3685" t="s">
        <v>289</v>
      </c>
      <c r="D7" s="3686"/>
      <c r="E7" s="3686"/>
      <c r="F7" s="3686"/>
      <c r="G7" s="3686"/>
      <c r="H7" s="3686"/>
      <c r="I7" s="3686"/>
      <c r="J7" s="3686"/>
      <c r="K7" s="3686"/>
      <c r="L7" s="3686"/>
      <c r="M7" s="3686"/>
      <c r="N7" s="3686"/>
      <c r="O7" s="3686"/>
      <c r="P7" s="3687"/>
      <c r="Q7" s="872">
        <f>Q8+Q25</f>
        <v>82770000</v>
      </c>
      <c r="R7" s="872">
        <f>R8+R25</f>
        <v>73495000</v>
      </c>
      <c r="S7" s="867">
        <f t="shared" si="0"/>
        <v>9275000</v>
      </c>
      <c r="T7" s="1407">
        <f t="shared" si="1"/>
        <v>0.12619906116062318</v>
      </c>
    </row>
    <row r="8" spans="1:25" s="1371" customFormat="1" ht="14.45" customHeight="1" thickBot="1">
      <c r="A8" s="1367"/>
      <c r="B8" s="1368"/>
      <c r="C8" s="1369"/>
      <c r="D8" s="1408" t="s">
        <v>506</v>
      </c>
      <c r="E8" s="3299"/>
      <c r="F8" s="1409"/>
      <c r="G8" s="1410"/>
      <c r="H8" s="1409"/>
      <c r="I8" s="1409"/>
      <c r="J8" s="1409"/>
      <c r="K8" s="1409"/>
      <c r="L8" s="1411"/>
      <c r="M8" s="1409"/>
      <c r="N8" s="1412"/>
      <c r="O8" s="1412"/>
      <c r="P8" s="1409"/>
      <c r="Q8" s="685">
        <f>Q9+Q14+Q19+Q22</f>
        <v>57190000</v>
      </c>
      <c r="R8" s="685">
        <f>R9+R14+R19+R22</f>
        <v>48960000</v>
      </c>
      <c r="S8" s="1307">
        <f t="shared" si="0"/>
        <v>8230000</v>
      </c>
      <c r="T8" s="987">
        <f>S8/R8</f>
        <v>0.16809640522875818</v>
      </c>
    </row>
    <row r="9" spans="1:25" s="1371" customFormat="1" ht="14.45" customHeight="1">
      <c r="A9" s="1367"/>
      <c r="B9" s="1368"/>
      <c r="C9" s="1369"/>
      <c r="D9" s="1368"/>
      <c r="E9" s="3637" t="s">
        <v>3000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8"/>
      <c r="P9" s="3639"/>
      <c r="Q9" s="645">
        <f>P10</f>
        <v>44040000</v>
      </c>
      <c r="R9" s="645">
        <v>42000000</v>
      </c>
      <c r="S9" s="646">
        <f t="shared" si="0"/>
        <v>2040000</v>
      </c>
      <c r="T9" s="647">
        <f t="shared" ref="T9" si="2">S9/R9</f>
        <v>4.8571428571428571E-2</v>
      </c>
    </row>
    <row r="10" spans="1:25" s="1371" customFormat="1" ht="14.45" customHeight="1">
      <c r="A10" s="1367"/>
      <c r="B10" s="1368"/>
      <c r="C10" s="1369"/>
      <c r="D10" s="1368"/>
      <c r="E10" s="3300"/>
      <c r="F10" s="1413" t="s">
        <v>38</v>
      </c>
      <c r="G10" s="650"/>
      <c r="H10" s="649"/>
      <c r="I10" s="649"/>
      <c r="J10" s="649"/>
      <c r="K10" s="649"/>
      <c r="L10" s="1414"/>
      <c r="M10" s="649"/>
      <c r="N10" s="651"/>
      <c r="O10" s="651"/>
      <c r="P10" s="652">
        <f>SUM(P11:P14)</f>
        <v>44040000</v>
      </c>
      <c r="Q10" s="653">
        <v>44040000</v>
      </c>
      <c r="R10" s="653">
        <v>42000000</v>
      </c>
      <c r="S10" s="654">
        <f t="shared" si="0"/>
        <v>2040000</v>
      </c>
      <c r="T10" s="655">
        <f t="shared" ref="T10" si="3">S10/R10</f>
        <v>4.8571428571428571E-2</v>
      </c>
      <c r="V10" s="1371" t="s">
        <v>1996</v>
      </c>
      <c r="W10" s="1120">
        <f>SUM(W11:W13)</f>
        <v>89380000</v>
      </c>
      <c r="X10" s="1120">
        <f>SUM(X11:X13)</f>
        <v>73495000</v>
      </c>
      <c r="Y10" s="1120"/>
    </row>
    <row r="11" spans="1:25" ht="14.45" customHeight="1">
      <c r="A11" s="778"/>
      <c r="B11" s="786"/>
      <c r="C11" s="792"/>
      <c r="D11" s="786"/>
      <c r="E11" s="3282"/>
      <c r="F11" s="1415" t="s">
        <v>1978</v>
      </c>
      <c r="G11" s="1416">
        <v>1260000</v>
      </c>
      <c r="H11" s="1417" t="s">
        <v>21</v>
      </c>
      <c r="I11" s="1418">
        <v>1</v>
      </c>
      <c r="J11" s="1417" t="s">
        <v>21</v>
      </c>
      <c r="K11" s="1419">
        <v>12</v>
      </c>
      <c r="L11" s="1420"/>
      <c r="M11" s="1419"/>
      <c r="N11" s="1421"/>
      <c r="O11" s="1421" t="s">
        <v>22</v>
      </c>
      <c r="P11" s="1422">
        <f>ROUNDUP(G11*I11*K11,-3)</f>
        <v>15120000</v>
      </c>
      <c r="Q11" s="694"/>
      <c r="R11" s="694"/>
      <c r="S11" s="695"/>
      <c r="T11" s="696"/>
      <c r="V11" s="128" t="s">
        <v>1980</v>
      </c>
      <c r="W11" s="1120">
        <f>Q8</f>
        <v>57190000</v>
      </c>
      <c r="X11" s="1120">
        <f>R8</f>
        <v>48960000</v>
      </c>
      <c r="Y11" s="1120"/>
    </row>
    <row r="12" spans="1:25" ht="14.45" customHeight="1">
      <c r="A12" s="778"/>
      <c r="B12" s="786"/>
      <c r="C12" s="792"/>
      <c r="D12" s="786"/>
      <c r="E12" s="3283"/>
      <c r="F12" s="1423" t="s">
        <v>1782</v>
      </c>
      <c r="G12" s="1416">
        <v>1260000</v>
      </c>
      <c r="H12" s="1417" t="s">
        <v>21</v>
      </c>
      <c r="I12" s="1418">
        <v>1</v>
      </c>
      <c r="J12" s="1417" t="s">
        <v>21</v>
      </c>
      <c r="K12" s="1419">
        <v>12</v>
      </c>
      <c r="L12" s="1420"/>
      <c r="M12" s="1419"/>
      <c r="N12" s="1421"/>
      <c r="O12" s="1421" t="s">
        <v>22</v>
      </c>
      <c r="P12" s="1422">
        <f>ROUNDUP(G12*I12*K12,-3)</f>
        <v>15120000</v>
      </c>
      <c r="Q12" s="694"/>
      <c r="R12" s="694"/>
      <c r="S12" s="695"/>
      <c r="T12" s="696"/>
      <c r="V12" s="128" t="s">
        <v>1997</v>
      </c>
      <c r="W12" s="1120">
        <f>Q25</f>
        <v>25580000</v>
      </c>
      <c r="X12" s="1120">
        <f>R25</f>
        <v>24535000</v>
      </c>
      <c r="Y12" s="1120"/>
    </row>
    <row r="13" spans="1:25" ht="14.45" customHeight="1">
      <c r="A13" s="778"/>
      <c r="B13" s="786"/>
      <c r="C13" s="792"/>
      <c r="D13" s="786"/>
      <c r="E13" s="3283"/>
      <c r="F13" s="1423" t="s">
        <v>1981</v>
      </c>
      <c r="G13" s="1416">
        <v>1150000</v>
      </c>
      <c r="H13" s="1417" t="s">
        <v>21</v>
      </c>
      <c r="I13" s="1418">
        <v>1</v>
      </c>
      <c r="J13" s="1417" t="s">
        <v>21</v>
      </c>
      <c r="K13" s="1419">
        <v>12</v>
      </c>
      <c r="L13" s="1420"/>
      <c r="M13" s="1419"/>
      <c r="N13" s="1421"/>
      <c r="O13" s="1421" t="s">
        <v>22</v>
      </c>
      <c r="P13" s="1422">
        <f>ROUNDUP(G13*I13*K13,-3)</f>
        <v>13800000</v>
      </c>
      <c r="Q13" s="694"/>
      <c r="R13" s="694"/>
      <c r="S13" s="695"/>
      <c r="T13" s="696"/>
      <c r="V13" s="128" t="s">
        <v>1998</v>
      </c>
      <c r="W13" s="1120">
        <f>Q79</f>
        <v>6610000</v>
      </c>
      <c r="X13" s="1120">
        <f>R79</f>
        <v>0</v>
      </c>
      <c r="Y13" s="1120"/>
    </row>
    <row r="14" spans="1:25" s="1371" customFormat="1" ht="14.45" customHeight="1">
      <c r="A14" s="1367"/>
      <c r="B14" s="1368"/>
      <c r="C14" s="1369"/>
      <c r="D14" s="1368"/>
      <c r="E14" s="3637" t="s">
        <v>3159</v>
      </c>
      <c r="F14" s="3638"/>
      <c r="G14" s="3638"/>
      <c r="H14" s="3638"/>
      <c r="I14" s="3638"/>
      <c r="J14" s="3638"/>
      <c r="K14" s="3638"/>
      <c r="L14" s="3638"/>
      <c r="M14" s="3638"/>
      <c r="N14" s="3638"/>
      <c r="O14" s="3638"/>
      <c r="P14" s="3639"/>
      <c r="Q14" s="645">
        <f>P15+P17</f>
        <v>4320000</v>
      </c>
      <c r="R14" s="645">
        <v>2520000</v>
      </c>
      <c r="S14" s="646">
        <f>Q14-R14</f>
        <v>1800000</v>
      </c>
      <c r="T14" s="647">
        <f t="shared" ref="T14:T15" si="4">S14/R14</f>
        <v>0.7142857142857143</v>
      </c>
      <c r="W14" s="1120"/>
      <c r="X14" s="1120"/>
      <c r="Y14" s="1120"/>
    </row>
    <row r="15" spans="1:25" ht="14.45" customHeight="1">
      <c r="A15" s="778"/>
      <c r="B15" s="786"/>
      <c r="C15" s="792"/>
      <c r="D15" s="786"/>
      <c r="E15" s="3282"/>
      <c r="F15" s="1413" t="s">
        <v>41</v>
      </c>
      <c r="G15" s="650"/>
      <c r="H15" s="649"/>
      <c r="I15" s="649"/>
      <c r="J15" s="649"/>
      <c r="K15" s="649"/>
      <c r="L15" s="1414"/>
      <c r="M15" s="649"/>
      <c r="N15" s="651"/>
      <c r="O15" s="651"/>
      <c r="P15" s="652">
        <f>SUM(P16:P16)</f>
        <v>3600000</v>
      </c>
      <c r="Q15" s="653">
        <f>P15</f>
        <v>3600000</v>
      </c>
      <c r="R15" s="653">
        <v>720000</v>
      </c>
      <c r="S15" s="654">
        <f>Q15-R15</f>
        <v>2880000</v>
      </c>
      <c r="T15" s="655">
        <f t="shared" si="4"/>
        <v>4</v>
      </c>
      <c r="V15" s="128" t="s">
        <v>1999</v>
      </c>
      <c r="W15" s="1120">
        <f>SUM(W16:W18)</f>
        <v>12000000</v>
      </c>
      <c r="X15" s="1120">
        <f>SUM(X16:X18)</f>
        <v>16000000</v>
      </c>
      <c r="Y15" s="1120"/>
    </row>
    <row r="16" spans="1:25" ht="14.45" customHeight="1">
      <c r="A16" s="778"/>
      <c r="B16" s="786"/>
      <c r="C16" s="792"/>
      <c r="D16" s="786"/>
      <c r="E16" s="3283"/>
      <c r="F16" s="1415" t="s">
        <v>42</v>
      </c>
      <c r="G16" s="1416">
        <v>100000</v>
      </c>
      <c r="H16" s="1417" t="s">
        <v>21</v>
      </c>
      <c r="I16" s="1418">
        <v>3</v>
      </c>
      <c r="J16" s="1417" t="s">
        <v>21</v>
      </c>
      <c r="K16" s="1419">
        <v>12</v>
      </c>
      <c r="L16" s="1420"/>
      <c r="M16" s="1419"/>
      <c r="N16" s="1421"/>
      <c r="O16" s="1421" t="s">
        <v>22</v>
      </c>
      <c r="P16" s="1422">
        <f>ROUNDUP(G16*I16*K16,-3)</f>
        <v>3600000</v>
      </c>
      <c r="Q16" s="694"/>
      <c r="R16" s="694"/>
      <c r="S16" s="695"/>
      <c r="T16" s="696"/>
      <c r="V16" s="128" t="s">
        <v>2000</v>
      </c>
      <c r="W16" s="1120">
        <f>Q106</f>
        <v>3600000</v>
      </c>
      <c r="X16" s="1120">
        <f>R106</f>
        <v>8000000</v>
      </c>
      <c r="Y16" s="1120"/>
    </row>
    <row r="17" spans="1:25" ht="14.45" customHeight="1">
      <c r="A17" s="778"/>
      <c r="B17" s="786"/>
      <c r="C17" s="792"/>
      <c r="D17" s="786"/>
      <c r="F17" s="1413" t="s">
        <v>43</v>
      </c>
      <c r="G17" s="650"/>
      <c r="H17" s="649"/>
      <c r="I17" s="649"/>
      <c r="J17" s="649"/>
      <c r="K17" s="649"/>
      <c r="L17" s="1414"/>
      <c r="M17" s="649"/>
      <c r="N17" s="651"/>
      <c r="O17" s="651"/>
      <c r="P17" s="652">
        <f>SUM(P18:P18)</f>
        <v>720000</v>
      </c>
      <c r="Q17" s="653">
        <f>P17</f>
        <v>720000</v>
      </c>
      <c r="R17" s="653">
        <v>1800000</v>
      </c>
      <c r="S17" s="654">
        <f>Q17-R17</f>
        <v>-1080000</v>
      </c>
      <c r="T17" s="655">
        <f t="shared" ref="T17" si="5">S17/R17</f>
        <v>-0.6</v>
      </c>
      <c r="V17" s="128" t="s">
        <v>2001</v>
      </c>
      <c r="W17" s="1120"/>
      <c r="X17" s="1120"/>
      <c r="Y17" s="1120"/>
    </row>
    <row r="18" spans="1:25" ht="14.45" customHeight="1">
      <c r="A18" s="778"/>
      <c r="B18" s="786"/>
      <c r="C18" s="792"/>
      <c r="D18" s="786"/>
      <c r="E18" s="3282"/>
      <c r="F18" s="1415" t="s">
        <v>44</v>
      </c>
      <c r="G18" s="1424">
        <v>30000</v>
      </c>
      <c r="H18" s="1417" t="s">
        <v>21</v>
      </c>
      <c r="I18" s="1418">
        <v>2</v>
      </c>
      <c r="J18" s="1417" t="s">
        <v>21</v>
      </c>
      <c r="K18" s="1419">
        <v>12</v>
      </c>
      <c r="L18" s="1420"/>
      <c r="M18" s="1419"/>
      <c r="N18" s="1421"/>
      <c r="O18" s="1421" t="s">
        <v>22</v>
      </c>
      <c r="P18" s="1425">
        <f>ROUNDUP(G18*I18*K18,-3)</f>
        <v>720000</v>
      </c>
      <c r="Q18" s="694"/>
      <c r="R18" s="694"/>
      <c r="S18" s="695"/>
      <c r="T18" s="696"/>
      <c r="V18" s="128" t="s">
        <v>2002</v>
      </c>
      <c r="W18" s="1120">
        <f>Q110</f>
        <v>8400000</v>
      </c>
      <c r="X18" s="1120">
        <f>R110</f>
        <v>8000000</v>
      </c>
      <c r="Y18" s="1120"/>
    </row>
    <row r="19" spans="1:25" s="1137" customFormat="1" ht="15" customHeight="1">
      <c r="A19" s="1166"/>
      <c r="B19" s="1139"/>
      <c r="C19" s="1168"/>
      <c r="D19" s="1139"/>
      <c r="E19" s="3637" t="s">
        <v>3021</v>
      </c>
      <c r="F19" s="3638"/>
      <c r="G19" s="3638"/>
      <c r="H19" s="3638"/>
      <c r="I19" s="3638"/>
      <c r="J19" s="3638"/>
      <c r="K19" s="3638"/>
      <c r="L19" s="3638"/>
      <c r="M19" s="3638"/>
      <c r="N19" s="3638"/>
      <c r="O19" s="3638"/>
      <c r="P19" s="3639"/>
      <c r="Q19" s="1426">
        <f>P20</f>
        <v>4800000</v>
      </c>
      <c r="R19" s="1426">
        <v>4080000</v>
      </c>
      <c r="S19" s="1427">
        <f>Q19-R19</f>
        <v>720000</v>
      </c>
      <c r="T19" s="1428">
        <f>S19/R19</f>
        <v>0.17647058823529413</v>
      </c>
      <c r="W19" s="1292"/>
      <c r="X19" s="1292"/>
      <c r="Y19" s="1292"/>
    </row>
    <row r="20" spans="1:25" s="1137" customFormat="1" ht="15" customHeight="1">
      <c r="A20" s="1166"/>
      <c r="B20" s="1139"/>
      <c r="C20" s="1168"/>
      <c r="D20" s="1139"/>
      <c r="E20" s="3301"/>
      <c r="F20" s="1413" t="s">
        <v>1795</v>
      </c>
      <c r="G20" s="650"/>
      <c r="H20" s="649"/>
      <c r="I20" s="649"/>
      <c r="J20" s="649"/>
      <c r="K20" s="649"/>
      <c r="L20" s="1414"/>
      <c r="M20" s="649"/>
      <c r="N20" s="651"/>
      <c r="O20" s="651"/>
      <c r="P20" s="652">
        <f>SUM(P21:P21)</f>
        <v>4800000</v>
      </c>
      <c r="Q20" s="653">
        <v>4800000</v>
      </c>
      <c r="R20" s="653">
        <v>4080000</v>
      </c>
      <c r="S20" s="654">
        <f>Q20-R20</f>
        <v>720000</v>
      </c>
      <c r="T20" s="655">
        <f t="shared" ref="T20" si="6">S20/R20</f>
        <v>0.17647058823529413</v>
      </c>
      <c r="V20" s="1137" t="s">
        <v>2003</v>
      </c>
      <c r="W20" s="1292">
        <f>Q114</f>
        <v>14000</v>
      </c>
      <c r="X20" s="1292">
        <f>R114</f>
        <v>14000</v>
      </c>
      <c r="Y20" s="1292"/>
    </row>
    <row r="21" spans="1:25" s="1137" customFormat="1" ht="15" customHeight="1">
      <c r="A21" s="1166"/>
      <c r="B21" s="1139"/>
      <c r="C21" s="1168"/>
      <c r="D21" s="1139"/>
      <c r="E21" s="3301"/>
      <c r="F21" s="1429" t="s">
        <v>1982</v>
      </c>
      <c r="G21" s="1430">
        <v>400000</v>
      </c>
      <c r="H21" s="1431" t="s">
        <v>21</v>
      </c>
      <c r="I21" s="1432">
        <v>1</v>
      </c>
      <c r="J21" s="1431" t="s">
        <v>21</v>
      </c>
      <c r="K21" s="1433">
        <v>12</v>
      </c>
      <c r="L21" s="1434"/>
      <c r="M21" s="1435"/>
      <c r="N21" s="1436"/>
      <c r="O21" s="1436" t="s">
        <v>22</v>
      </c>
      <c r="P21" s="1437">
        <f>G21*I21*K21</f>
        <v>4800000</v>
      </c>
      <c r="Q21" s="1438"/>
      <c r="R21" s="1438"/>
      <c r="S21" s="1439"/>
      <c r="T21" s="1440"/>
      <c r="W21" s="1292"/>
      <c r="X21" s="1292"/>
      <c r="Y21" s="1292"/>
    </row>
    <row r="22" spans="1:25" ht="13.5" customHeight="1">
      <c r="A22" s="778"/>
      <c r="B22" s="786"/>
      <c r="C22" s="792"/>
      <c r="D22" s="786"/>
      <c r="E22" s="3637" t="s">
        <v>185</v>
      </c>
      <c r="F22" s="3638"/>
      <c r="G22" s="3638"/>
      <c r="H22" s="3638"/>
      <c r="I22" s="3638"/>
      <c r="J22" s="3638"/>
      <c r="K22" s="3638"/>
      <c r="L22" s="3638"/>
      <c r="M22" s="3638"/>
      <c r="N22" s="3638"/>
      <c r="O22" s="3638"/>
      <c r="P22" s="3639"/>
      <c r="Q22" s="645">
        <f>P23</f>
        <v>4030000</v>
      </c>
      <c r="R22" s="645">
        <v>360000</v>
      </c>
      <c r="S22" s="646">
        <f>Q22-R22</f>
        <v>3670000</v>
      </c>
      <c r="T22" s="647">
        <f t="shared" ref="T22:T23" si="7">S22/R22</f>
        <v>10.194444444444445</v>
      </c>
      <c r="W22" s="1120">
        <f>W10+W15+W20</f>
        <v>101394000</v>
      </c>
      <c r="X22" s="1120">
        <f>X10+X15+X20</f>
        <v>89509000</v>
      </c>
      <c r="Y22" s="1120"/>
    </row>
    <row r="23" spans="1:25" s="1371" customFormat="1" ht="14.45" customHeight="1">
      <c r="A23" s="1367"/>
      <c r="B23" s="1368"/>
      <c r="C23" s="1369"/>
      <c r="D23" s="1368"/>
      <c r="E23" s="3300"/>
      <c r="F23" s="1413" t="s">
        <v>52</v>
      </c>
      <c r="G23" s="650"/>
      <c r="H23" s="649"/>
      <c r="I23" s="649"/>
      <c r="J23" s="649"/>
      <c r="K23" s="649"/>
      <c r="L23" s="1414"/>
      <c r="M23" s="649"/>
      <c r="N23" s="651"/>
      <c r="O23" s="651"/>
      <c r="P23" s="652">
        <f>SUM(P24:P24)</f>
        <v>4030000</v>
      </c>
      <c r="Q23" s="653">
        <v>4030000</v>
      </c>
      <c r="R23" s="653">
        <v>360000</v>
      </c>
      <c r="S23" s="654">
        <f>Q23-R23</f>
        <v>3670000</v>
      </c>
      <c r="T23" s="655">
        <f t="shared" si="7"/>
        <v>10.194444444444445</v>
      </c>
      <c r="W23" s="1120"/>
      <c r="X23" s="1120"/>
      <c r="Y23" s="1120"/>
    </row>
    <row r="24" spans="1:25" s="1371" customFormat="1" ht="14.45" customHeight="1">
      <c r="A24" s="1367"/>
      <c r="B24" s="1368"/>
      <c r="C24" s="1369"/>
      <c r="D24" s="1441"/>
      <c r="E24" s="3302"/>
      <c r="F24" s="1442" t="s">
        <v>53</v>
      </c>
      <c r="G24" s="1443">
        <v>48360000</v>
      </c>
      <c r="H24" s="1444" t="s">
        <v>21</v>
      </c>
      <c r="I24" s="1445">
        <v>12</v>
      </c>
      <c r="J24" s="1444"/>
      <c r="K24" s="1446"/>
      <c r="L24" s="1447"/>
      <c r="M24" s="1446"/>
      <c r="N24" s="1448"/>
      <c r="O24" s="1448" t="s">
        <v>22</v>
      </c>
      <c r="P24" s="1449">
        <f>ROUNDUP(G24*1/12,-3)</f>
        <v>4030000</v>
      </c>
      <c r="Q24" s="712"/>
      <c r="R24" s="712"/>
      <c r="S24" s="713"/>
      <c r="T24" s="714"/>
    </row>
    <row r="25" spans="1:25" ht="14.45" customHeight="1" thickBot="1">
      <c r="A25" s="778"/>
      <c r="B25" s="786"/>
      <c r="C25" s="792"/>
      <c r="D25" s="716" t="s">
        <v>510</v>
      </c>
      <c r="E25" s="3288"/>
      <c r="F25" s="1305"/>
      <c r="G25" s="717"/>
      <c r="H25" s="716"/>
      <c r="I25" s="716"/>
      <c r="J25" s="716"/>
      <c r="K25" s="716"/>
      <c r="L25" s="1306"/>
      <c r="M25" s="716"/>
      <c r="N25" s="718"/>
      <c r="O25" s="718"/>
      <c r="P25" s="716"/>
      <c r="Q25" s="685">
        <f>SUM(Q26,Q33,Q36,Q39,Q43,Q46,Q49,Q54,Q61,Q65,Q68,Q69,Q72,Q75)</f>
        <v>25580000</v>
      </c>
      <c r="R25" s="685">
        <f>SUM(R26,R33,R36,R39,R43,R46,R49,R54,R61,R65,R68,R69,R72,R75)</f>
        <v>24535000</v>
      </c>
      <c r="S25" s="1307">
        <f>Q25-R25</f>
        <v>1045000</v>
      </c>
      <c r="T25" s="1450">
        <f>S25/R25</f>
        <v>4.2592215202771552E-2</v>
      </c>
      <c r="W25" s="1120"/>
    </row>
    <row r="26" spans="1:25" s="1371" customFormat="1" ht="14.45" customHeight="1">
      <c r="A26" s="1367"/>
      <c r="B26" s="1368"/>
      <c r="C26" s="1369"/>
      <c r="D26" s="1368"/>
      <c r="E26" s="3637" t="s">
        <v>55</v>
      </c>
      <c r="F26" s="3638"/>
      <c r="G26" s="3638"/>
      <c r="H26" s="3638"/>
      <c r="I26" s="3638"/>
      <c r="J26" s="3638"/>
      <c r="K26" s="3638"/>
      <c r="L26" s="3638"/>
      <c r="M26" s="3638"/>
      <c r="N26" s="3638"/>
      <c r="O26" s="3638"/>
      <c r="P26" s="3639"/>
      <c r="Q26" s="645">
        <f>P27</f>
        <v>4820000</v>
      </c>
      <c r="R26" s="645">
        <v>1200000</v>
      </c>
      <c r="S26" s="646">
        <f>Q26-R26</f>
        <v>3620000</v>
      </c>
      <c r="T26" s="647">
        <f t="shared" ref="T26:T27" si="8">S26/R26</f>
        <v>3.0166666666666666</v>
      </c>
    </row>
    <row r="27" spans="1:25" ht="14.45" customHeight="1">
      <c r="A27" s="778"/>
      <c r="B27" s="786"/>
      <c r="C27" s="792"/>
      <c r="D27" s="786"/>
      <c r="F27" s="1377" t="s">
        <v>511</v>
      </c>
      <c r="G27" s="1036"/>
      <c r="H27" s="1035"/>
      <c r="I27" s="1035"/>
      <c r="J27" s="1035"/>
      <c r="K27" s="1035"/>
      <c r="L27" s="1378"/>
      <c r="M27" s="1035"/>
      <c r="N27" s="1037"/>
      <c r="O27" s="1037"/>
      <c r="P27" s="1134">
        <f>SUM(P28:P32)</f>
        <v>4820000</v>
      </c>
      <c r="Q27" s="653">
        <f>P27</f>
        <v>4820000</v>
      </c>
      <c r="R27" s="1039">
        <v>1200000</v>
      </c>
      <c r="S27" s="654">
        <f>Q27-R27</f>
        <v>3620000</v>
      </c>
      <c r="T27" s="655">
        <f t="shared" si="8"/>
        <v>3.0166666666666666</v>
      </c>
    </row>
    <row r="28" spans="1:25" s="1371" customFormat="1" ht="14.45" customHeight="1">
      <c r="A28" s="1367"/>
      <c r="B28" s="1368"/>
      <c r="C28" s="1369"/>
      <c r="D28" s="1368"/>
      <c r="E28" s="3303"/>
      <c r="F28" s="1379" t="s">
        <v>512</v>
      </c>
      <c r="G28" s="1451">
        <f>Q9+Q14</f>
        <v>48360000</v>
      </c>
      <c r="H28" s="845" t="s">
        <v>507</v>
      </c>
      <c r="I28" s="1452">
        <v>4.4999999999999998E-2</v>
      </c>
      <c r="J28" s="1452"/>
      <c r="K28" s="1380"/>
      <c r="L28" s="1381"/>
      <c r="M28" s="1380"/>
      <c r="N28" s="1382"/>
      <c r="O28" s="1382" t="s">
        <v>508</v>
      </c>
      <c r="P28" s="1380">
        <f>ROUNDUP(G28*I28,-3)</f>
        <v>2177000</v>
      </c>
      <c r="Q28" s="858"/>
      <c r="R28" s="858"/>
      <c r="S28" s="859"/>
      <c r="T28" s="1383"/>
    </row>
    <row r="29" spans="1:25" s="1371" customFormat="1" ht="14.45" customHeight="1">
      <c r="A29" s="1367"/>
      <c r="B29" s="1368"/>
      <c r="C29" s="1369"/>
      <c r="D29" s="1368"/>
      <c r="E29" s="3304"/>
      <c r="F29" s="1453" t="s">
        <v>513</v>
      </c>
      <c r="G29" s="1451">
        <f>G28</f>
        <v>48360000</v>
      </c>
      <c r="H29" s="845" t="s">
        <v>507</v>
      </c>
      <c r="I29" s="1452">
        <v>3.1199999999999999E-2</v>
      </c>
      <c r="J29" s="1452"/>
      <c r="K29" s="1380"/>
      <c r="L29" s="1381"/>
      <c r="M29" s="1380"/>
      <c r="N29" s="1382"/>
      <c r="O29" s="1382" t="s">
        <v>509</v>
      </c>
      <c r="P29" s="1380">
        <f>ROUNDUP(G29*I29,-3)</f>
        <v>1509000</v>
      </c>
      <c r="Q29" s="858"/>
      <c r="R29" s="858"/>
      <c r="S29" s="859"/>
      <c r="T29" s="1383"/>
    </row>
    <row r="30" spans="1:25" s="1371" customFormat="1" ht="14.45" customHeight="1">
      <c r="A30" s="1367"/>
      <c r="B30" s="1368"/>
      <c r="C30" s="1369"/>
      <c r="D30" s="1368"/>
      <c r="E30" s="3304"/>
      <c r="F30" s="1453" t="s">
        <v>514</v>
      </c>
      <c r="G30" s="1451">
        <f>P29</f>
        <v>1509000</v>
      </c>
      <c r="H30" s="845" t="s">
        <v>507</v>
      </c>
      <c r="I30" s="1452">
        <v>7.3800000000000004E-2</v>
      </c>
      <c r="J30" s="1452"/>
      <c r="K30" s="1380"/>
      <c r="L30" s="1381"/>
      <c r="M30" s="1380"/>
      <c r="N30" s="1382"/>
      <c r="O30" s="1382" t="s">
        <v>508</v>
      </c>
      <c r="P30" s="1380">
        <f>ROUNDUP(G30*I30,-3)</f>
        <v>112000</v>
      </c>
      <c r="Q30" s="858"/>
      <c r="R30" s="858"/>
      <c r="S30" s="859"/>
      <c r="T30" s="1383"/>
    </row>
    <row r="31" spans="1:25" s="1371" customFormat="1" ht="14.45" customHeight="1">
      <c r="A31" s="1367"/>
      <c r="B31" s="1368"/>
      <c r="C31" s="1369"/>
      <c r="D31" s="1368"/>
      <c r="E31" s="3304"/>
      <c r="F31" s="1453" t="s">
        <v>515</v>
      </c>
      <c r="G31" s="1451">
        <f>G29</f>
        <v>48360000</v>
      </c>
      <c r="H31" s="845" t="s">
        <v>507</v>
      </c>
      <c r="I31" s="1452">
        <v>8.9999999999999993E-3</v>
      </c>
      <c r="J31" s="1452"/>
      <c r="K31" s="1380"/>
      <c r="L31" s="1381"/>
      <c r="M31" s="1380"/>
      <c r="N31" s="1382"/>
      <c r="O31" s="1382" t="s">
        <v>508</v>
      </c>
      <c r="P31" s="1380">
        <f>ROUNDUP(G31*I31,-3)</f>
        <v>436000</v>
      </c>
      <c r="Q31" s="858"/>
      <c r="R31" s="858"/>
      <c r="S31" s="859"/>
      <c r="T31" s="1383"/>
    </row>
    <row r="32" spans="1:25" s="1371" customFormat="1" ht="14.45" customHeight="1">
      <c r="A32" s="1367"/>
      <c r="B32" s="1368"/>
      <c r="C32" s="1369"/>
      <c r="D32" s="1368"/>
      <c r="E32" s="3304"/>
      <c r="F32" s="1453" t="s">
        <v>187</v>
      </c>
      <c r="G32" s="1451">
        <f>G29</f>
        <v>48360000</v>
      </c>
      <c r="H32" s="845" t="s">
        <v>51</v>
      </c>
      <c r="I32" s="1454">
        <v>1.21E-2</v>
      </c>
      <c r="J32" s="1454"/>
      <c r="K32" s="1380"/>
      <c r="L32" s="1381"/>
      <c r="M32" s="1380"/>
      <c r="N32" s="1382"/>
      <c r="O32" s="1382" t="s">
        <v>508</v>
      </c>
      <c r="P32" s="1380">
        <f>ROUNDUP(G32*I32,-3)</f>
        <v>586000</v>
      </c>
      <c r="Q32" s="858"/>
      <c r="R32" s="858"/>
      <c r="S32" s="859"/>
      <c r="T32" s="1383"/>
    </row>
    <row r="33" spans="1:22" s="1371" customFormat="1" ht="14.45" customHeight="1">
      <c r="A33" s="1367"/>
      <c r="B33" s="1368"/>
      <c r="C33" s="1369"/>
      <c r="D33" s="1368"/>
      <c r="E33" s="3637" t="s">
        <v>213</v>
      </c>
      <c r="F33" s="3638"/>
      <c r="G33" s="3638"/>
      <c r="H33" s="3638"/>
      <c r="I33" s="3638"/>
      <c r="J33" s="3638"/>
      <c r="K33" s="3638"/>
      <c r="L33" s="3638"/>
      <c r="M33" s="3638"/>
      <c r="N33" s="3638"/>
      <c r="O33" s="3638"/>
      <c r="P33" s="3639"/>
      <c r="Q33" s="645">
        <f>P34</f>
        <v>720000</v>
      </c>
      <c r="R33" s="645">
        <v>360000</v>
      </c>
      <c r="S33" s="646">
        <f>Q33-R33</f>
        <v>360000</v>
      </c>
      <c r="T33" s="647">
        <f>S33/R33</f>
        <v>1</v>
      </c>
    </row>
    <row r="34" spans="1:22" s="1371" customFormat="1" ht="14.45" customHeight="1">
      <c r="A34" s="1367"/>
      <c r="B34" s="1368"/>
      <c r="C34" s="1369"/>
      <c r="D34" s="1368"/>
      <c r="E34" s="3304"/>
      <c r="F34" s="1413" t="s">
        <v>66</v>
      </c>
      <c r="G34" s="650"/>
      <c r="H34" s="649"/>
      <c r="I34" s="649"/>
      <c r="J34" s="649"/>
      <c r="K34" s="649"/>
      <c r="L34" s="1414"/>
      <c r="M34" s="649"/>
      <c r="N34" s="651"/>
      <c r="O34" s="651"/>
      <c r="P34" s="652">
        <f>SUM(P35:P36)</f>
        <v>720000</v>
      </c>
      <c r="Q34" s="653">
        <f>P34</f>
        <v>720000</v>
      </c>
      <c r="R34" s="653">
        <v>360000</v>
      </c>
      <c r="S34" s="654">
        <f>Q34-R34</f>
        <v>360000</v>
      </c>
      <c r="T34" s="655">
        <f t="shared" ref="T34" si="9">S34/R34</f>
        <v>1</v>
      </c>
    </row>
    <row r="35" spans="1:22" s="1371" customFormat="1" ht="14.45" customHeight="1">
      <c r="A35" s="1367"/>
      <c r="B35" s="1368"/>
      <c r="C35" s="1369"/>
      <c r="D35" s="1368"/>
      <c r="E35" s="3304"/>
      <c r="F35" s="1415" t="s">
        <v>67</v>
      </c>
      <c r="G35" s="1424">
        <v>20000</v>
      </c>
      <c r="H35" s="1417" t="s">
        <v>21</v>
      </c>
      <c r="I35" s="1418">
        <v>3</v>
      </c>
      <c r="J35" s="1417" t="s">
        <v>21</v>
      </c>
      <c r="K35" s="1419">
        <v>12</v>
      </c>
      <c r="L35" s="1420"/>
      <c r="M35" s="1419"/>
      <c r="N35" s="1421"/>
      <c r="O35" s="1421" t="s">
        <v>22</v>
      </c>
      <c r="P35" s="1422">
        <f>G35*I35*K35</f>
        <v>720000</v>
      </c>
      <c r="Q35" s="694"/>
      <c r="R35" s="694"/>
      <c r="S35" s="695"/>
      <c r="T35" s="696"/>
    </row>
    <row r="36" spans="1:22" s="1458" customFormat="1" ht="14.45" customHeight="1">
      <c r="A36" s="1455"/>
      <c r="B36" s="1456"/>
      <c r="C36" s="1457"/>
      <c r="D36" s="1456"/>
      <c r="E36" s="3637" t="s">
        <v>3160</v>
      </c>
      <c r="F36" s="3638"/>
      <c r="G36" s="3638"/>
      <c r="H36" s="3638"/>
      <c r="I36" s="3638"/>
      <c r="J36" s="3638"/>
      <c r="K36" s="3638"/>
      <c r="L36" s="3638"/>
      <c r="M36" s="3638"/>
      <c r="N36" s="3638"/>
      <c r="O36" s="3638"/>
      <c r="P36" s="3639"/>
      <c r="Q36" s="645">
        <f>P37</f>
        <v>600000</v>
      </c>
      <c r="R36" s="645">
        <v>800000</v>
      </c>
      <c r="S36" s="646">
        <f>Q36-R36</f>
        <v>-200000</v>
      </c>
      <c r="T36" s="647">
        <f t="shared" ref="T36:T37" si="10">S36/R36</f>
        <v>-0.25</v>
      </c>
    </row>
    <row r="37" spans="1:22" ht="14.45" customHeight="1">
      <c r="A37" s="1130"/>
      <c r="B37" s="846"/>
      <c r="C37" s="780"/>
      <c r="D37" s="846"/>
      <c r="E37" s="846"/>
      <c r="F37" s="1483" t="s">
        <v>71</v>
      </c>
      <c r="G37" s="1484"/>
      <c r="H37" s="1485"/>
      <c r="I37" s="1485"/>
      <c r="J37" s="1485"/>
      <c r="K37" s="1485"/>
      <c r="L37" s="1486"/>
      <c r="M37" s="1485"/>
      <c r="N37" s="1487"/>
      <c r="O37" s="1487"/>
      <c r="P37" s="1488">
        <f>SUM(P38:P38)</f>
        <v>600000</v>
      </c>
      <c r="Q37" s="683">
        <f>P37</f>
        <v>600000</v>
      </c>
      <c r="R37" s="683">
        <v>800000</v>
      </c>
      <c r="S37" s="1489">
        <f>Q37-R37</f>
        <v>-200000</v>
      </c>
      <c r="T37" s="1490">
        <f t="shared" si="10"/>
        <v>-0.25</v>
      </c>
    </row>
    <row r="38" spans="1:22" s="1371" customFormat="1" ht="14.45" customHeight="1">
      <c r="A38" s="1367"/>
      <c r="B38" s="1368"/>
      <c r="C38" s="1369"/>
      <c r="D38" s="1368"/>
      <c r="E38" s="3305"/>
      <c r="F38" s="1442" t="s">
        <v>1983</v>
      </c>
      <c r="G38" s="1443">
        <v>50000</v>
      </c>
      <c r="H38" s="1444" t="s">
        <v>21</v>
      </c>
      <c r="I38" s="1446">
        <v>1</v>
      </c>
      <c r="J38" s="1444" t="s">
        <v>21</v>
      </c>
      <c r="K38" s="1446">
        <v>12</v>
      </c>
      <c r="L38" s="1447"/>
      <c r="M38" s="1446"/>
      <c r="N38" s="1448"/>
      <c r="O38" s="1448" t="s">
        <v>22</v>
      </c>
      <c r="P38" s="1449">
        <f>G38*I38*K38</f>
        <v>600000</v>
      </c>
      <c r="Q38" s="712"/>
      <c r="R38" s="712"/>
      <c r="S38" s="713"/>
      <c r="T38" s="714"/>
    </row>
    <row r="39" spans="1:22" s="1371" customFormat="1" ht="14.45" customHeight="1">
      <c r="A39" s="1367"/>
      <c r="B39" s="1368"/>
      <c r="C39" s="1369"/>
      <c r="D39" s="1368"/>
      <c r="E39" s="3637" t="s">
        <v>3161</v>
      </c>
      <c r="F39" s="3638"/>
      <c r="G39" s="3638"/>
      <c r="H39" s="3638"/>
      <c r="I39" s="3638"/>
      <c r="J39" s="3638"/>
      <c r="K39" s="3638"/>
      <c r="L39" s="3638"/>
      <c r="M39" s="3638"/>
      <c r="N39" s="3638"/>
      <c r="O39" s="3638"/>
      <c r="P39" s="3639"/>
      <c r="Q39" s="1049">
        <f>P40</f>
        <v>3840000</v>
      </c>
      <c r="R39" s="1049">
        <v>3500000</v>
      </c>
      <c r="S39" s="1050">
        <f>Q39-R39</f>
        <v>340000</v>
      </c>
      <c r="T39" s="1051">
        <f t="shared" ref="T39:T40" si="11">S39/R39</f>
        <v>9.7142857142857142E-2</v>
      </c>
    </row>
    <row r="40" spans="1:22" ht="14.45" customHeight="1">
      <c r="A40" s="778"/>
      <c r="B40" s="786"/>
      <c r="C40" s="792"/>
      <c r="D40" s="786"/>
      <c r="F40" s="1413" t="s">
        <v>75</v>
      </c>
      <c r="G40" s="650"/>
      <c r="H40" s="649"/>
      <c r="I40" s="649"/>
      <c r="J40" s="649"/>
      <c r="K40" s="649"/>
      <c r="L40" s="1414"/>
      <c r="M40" s="649"/>
      <c r="N40" s="651"/>
      <c r="O40" s="651"/>
      <c r="P40" s="652">
        <f>SUM(P41:P42)</f>
        <v>3840000</v>
      </c>
      <c r="Q40" s="653">
        <f>P40</f>
        <v>3840000</v>
      </c>
      <c r="R40" s="653">
        <v>3500000</v>
      </c>
      <c r="S40" s="654">
        <f>Q40-R40</f>
        <v>340000</v>
      </c>
      <c r="T40" s="655">
        <f t="shared" si="11"/>
        <v>9.7142857142857142E-2</v>
      </c>
    </row>
    <row r="41" spans="1:22" ht="14.45" customHeight="1">
      <c r="A41" s="778"/>
      <c r="B41" s="786"/>
      <c r="C41" s="792"/>
      <c r="D41" s="786"/>
      <c r="F41" s="1415" t="s">
        <v>739</v>
      </c>
      <c r="G41" s="1424">
        <v>300000</v>
      </c>
      <c r="H41" s="1417" t="s">
        <v>21</v>
      </c>
      <c r="I41" s="1419">
        <v>12</v>
      </c>
      <c r="J41" s="1417" t="s">
        <v>21</v>
      </c>
      <c r="K41" s="3807">
        <v>1</v>
      </c>
      <c r="L41" s="3807"/>
      <c r="M41" s="1419"/>
      <c r="N41" s="1421"/>
      <c r="O41" s="1421" t="s">
        <v>22</v>
      </c>
      <c r="P41" s="1422">
        <f>G41*I41*K41</f>
        <v>3600000</v>
      </c>
      <c r="Q41" s="694"/>
      <c r="R41" s="694"/>
      <c r="S41" s="695"/>
      <c r="T41" s="696"/>
    </row>
    <row r="42" spans="1:22" s="1371" customFormat="1" ht="14.45" customHeight="1">
      <c r="A42" s="1367"/>
      <c r="B42" s="1368"/>
      <c r="C42" s="1369"/>
      <c r="D42" s="1368"/>
      <c r="E42" s="3303"/>
      <c r="F42" s="1423" t="s">
        <v>1984</v>
      </c>
      <c r="G42" s="1459">
        <v>20000</v>
      </c>
      <c r="H42" s="1417" t="s">
        <v>21</v>
      </c>
      <c r="I42" s="1419">
        <v>12</v>
      </c>
      <c r="J42" s="1417"/>
      <c r="K42" s="1419"/>
      <c r="L42" s="1420"/>
      <c r="M42" s="1419"/>
      <c r="N42" s="1421"/>
      <c r="O42" s="1421" t="s">
        <v>22</v>
      </c>
      <c r="P42" s="1422">
        <f>G42*I42</f>
        <v>240000</v>
      </c>
      <c r="Q42" s="694"/>
      <c r="R42" s="694"/>
      <c r="S42" s="695"/>
      <c r="T42" s="696"/>
    </row>
    <row r="43" spans="1:22" s="1371" customFormat="1" ht="14.45" customHeight="1">
      <c r="A43" s="1367"/>
      <c r="B43" s="1368"/>
      <c r="C43" s="1369"/>
      <c r="D43" s="1368"/>
      <c r="E43" s="3637" t="s">
        <v>3004</v>
      </c>
      <c r="F43" s="3638"/>
      <c r="G43" s="3638"/>
      <c r="H43" s="3638"/>
      <c r="I43" s="3638"/>
      <c r="J43" s="3638"/>
      <c r="K43" s="3638"/>
      <c r="L43" s="3638"/>
      <c r="M43" s="3638"/>
      <c r="N43" s="3638"/>
      <c r="O43" s="3638"/>
      <c r="P43" s="3639"/>
      <c r="Q43" s="645">
        <f>P44</f>
        <v>600000</v>
      </c>
      <c r="R43" s="645">
        <v>2600000</v>
      </c>
      <c r="S43" s="646">
        <f>Q43-R43</f>
        <v>-2000000</v>
      </c>
      <c r="T43" s="647">
        <f t="shared" ref="T43:T44" si="12">S43/R43</f>
        <v>-0.76923076923076927</v>
      </c>
    </row>
    <row r="44" spans="1:22" s="1371" customFormat="1" ht="14.45" customHeight="1">
      <c r="A44" s="1367"/>
      <c r="B44" s="1368"/>
      <c r="C44" s="1369"/>
      <c r="D44" s="1368"/>
      <c r="E44" s="1370"/>
      <c r="F44" s="1460" t="s">
        <v>77</v>
      </c>
      <c r="G44" s="1461"/>
      <c r="H44" s="1462"/>
      <c r="I44" s="1462"/>
      <c r="J44" s="1462"/>
      <c r="K44" s="1462"/>
      <c r="L44" s="1463"/>
      <c r="M44" s="1462"/>
      <c r="N44" s="1464"/>
      <c r="O44" s="1464"/>
      <c r="P44" s="1465">
        <f>P45</f>
        <v>600000</v>
      </c>
      <c r="Q44" s="653">
        <f>P44</f>
        <v>600000</v>
      </c>
      <c r="R44" s="957">
        <v>2600000</v>
      </c>
      <c r="S44" s="654">
        <f>Q44-R44</f>
        <v>-2000000</v>
      </c>
      <c r="T44" s="655">
        <f t="shared" si="12"/>
        <v>-0.76923076923076927</v>
      </c>
    </row>
    <row r="45" spans="1:22" s="1371" customFormat="1" ht="14.45" customHeight="1">
      <c r="A45" s="1367"/>
      <c r="B45" s="1368"/>
      <c r="C45" s="1369"/>
      <c r="D45" s="1368"/>
      <c r="E45" s="1441"/>
      <c r="F45" s="1442" t="s">
        <v>465</v>
      </c>
      <c r="G45" s="1443">
        <v>50000</v>
      </c>
      <c r="H45" s="1444" t="s">
        <v>21</v>
      </c>
      <c r="I45" s="1466">
        <v>1</v>
      </c>
      <c r="J45" s="1444" t="s">
        <v>21</v>
      </c>
      <c r="K45" s="1446">
        <v>12</v>
      </c>
      <c r="L45" s="1447"/>
      <c r="M45" s="1446"/>
      <c r="N45" s="1448"/>
      <c r="O45" s="1448" t="s">
        <v>22</v>
      </c>
      <c r="P45" s="1449">
        <f>G45*I45*K45</f>
        <v>600000</v>
      </c>
      <c r="Q45" s="712"/>
      <c r="R45" s="712"/>
      <c r="S45" s="713"/>
      <c r="T45" s="696"/>
      <c r="V45" s="128"/>
    </row>
    <row r="46" spans="1:22" ht="14.45" customHeight="1">
      <c r="A46" s="778"/>
      <c r="B46" s="786"/>
      <c r="C46" s="792"/>
      <c r="D46" s="786"/>
      <c r="E46" s="3637" t="s">
        <v>3035</v>
      </c>
      <c r="F46" s="3638"/>
      <c r="G46" s="3638"/>
      <c r="H46" s="3638"/>
      <c r="I46" s="3638"/>
      <c r="J46" s="3638"/>
      <c r="K46" s="3638"/>
      <c r="L46" s="3638"/>
      <c r="M46" s="3638"/>
      <c r="N46" s="3638"/>
      <c r="O46" s="3638"/>
      <c r="P46" s="3639"/>
      <c r="Q46" s="1049">
        <f>P47</f>
        <v>300000</v>
      </c>
      <c r="R46" s="1049">
        <v>540000</v>
      </c>
      <c r="S46" s="1050">
        <f>Q46-R46</f>
        <v>-240000</v>
      </c>
      <c r="T46" s="647">
        <f t="shared" ref="T46:T47" si="13">S46/R46</f>
        <v>-0.44444444444444442</v>
      </c>
    </row>
    <row r="47" spans="1:22" s="1371" customFormat="1" ht="14.45" customHeight="1">
      <c r="A47" s="1367"/>
      <c r="B47" s="1368"/>
      <c r="C47" s="1369"/>
      <c r="D47" s="1368"/>
      <c r="E47" s="3300"/>
      <c r="F47" s="1413" t="s">
        <v>88</v>
      </c>
      <c r="G47" s="650"/>
      <c r="H47" s="649"/>
      <c r="I47" s="649"/>
      <c r="J47" s="649"/>
      <c r="K47" s="649"/>
      <c r="L47" s="1414"/>
      <c r="M47" s="649"/>
      <c r="N47" s="651"/>
      <c r="O47" s="651"/>
      <c r="P47" s="652">
        <f>SUM(P48:P48)</f>
        <v>300000</v>
      </c>
      <c r="Q47" s="653">
        <f>P47</f>
        <v>300000</v>
      </c>
      <c r="R47" s="653">
        <v>540000</v>
      </c>
      <c r="S47" s="654">
        <f>Q47-R47</f>
        <v>-240000</v>
      </c>
      <c r="T47" s="655">
        <f t="shared" si="13"/>
        <v>-0.44444444444444442</v>
      </c>
    </row>
    <row r="48" spans="1:22" s="1371" customFormat="1" ht="14.45" customHeight="1">
      <c r="A48" s="1367"/>
      <c r="B48" s="1368"/>
      <c r="C48" s="1369"/>
      <c r="D48" s="1368"/>
      <c r="E48" s="3300"/>
      <c r="F48" s="1415" t="s">
        <v>753</v>
      </c>
      <c r="G48" s="1424">
        <v>300000</v>
      </c>
      <c r="H48" s="1417" t="s">
        <v>21</v>
      </c>
      <c r="I48" s="1467">
        <v>1</v>
      </c>
      <c r="J48" s="1417"/>
      <c r="K48" s="1419"/>
      <c r="L48" s="1420"/>
      <c r="M48" s="1419"/>
      <c r="N48" s="1421"/>
      <c r="O48" s="1421" t="s">
        <v>22</v>
      </c>
      <c r="P48" s="1422">
        <f>ROUNDUP(G48*I48,-3)</f>
        <v>300000</v>
      </c>
      <c r="Q48" s="694"/>
      <c r="R48" s="694"/>
      <c r="S48" s="695"/>
      <c r="T48" s="696"/>
    </row>
    <row r="49" spans="1:20" s="1371" customFormat="1" ht="14.45" customHeight="1">
      <c r="A49" s="1367"/>
      <c r="B49" s="1368"/>
      <c r="C49" s="1369"/>
      <c r="D49" s="1368"/>
      <c r="E49" s="3637" t="s">
        <v>3005</v>
      </c>
      <c r="F49" s="3638"/>
      <c r="G49" s="3638"/>
      <c r="H49" s="3638"/>
      <c r="I49" s="3638"/>
      <c r="J49" s="3638"/>
      <c r="K49" s="3638"/>
      <c r="L49" s="3638"/>
      <c r="M49" s="3638"/>
      <c r="N49" s="3638"/>
      <c r="O49" s="3638"/>
      <c r="P49" s="3639"/>
      <c r="Q49" s="645">
        <f>P50</f>
        <v>11720000</v>
      </c>
      <c r="R49" s="645">
        <v>10500000</v>
      </c>
      <c r="S49" s="646">
        <f>Q49-R49</f>
        <v>1220000</v>
      </c>
      <c r="T49" s="647">
        <f t="shared" ref="T49:T50" si="14">S49/R49</f>
        <v>0.11619047619047619</v>
      </c>
    </row>
    <row r="50" spans="1:20" ht="14.45" customHeight="1">
      <c r="A50" s="778"/>
      <c r="B50" s="786"/>
      <c r="C50" s="792"/>
      <c r="D50" s="786"/>
      <c r="F50" s="1413" t="s">
        <v>93</v>
      </c>
      <c r="G50" s="650"/>
      <c r="H50" s="649"/>
      <c r="I50" s="649"/>
      <c r="J50" s="649"/>
      <c r="K50" s="649"/>
      <c r="L50" s="1414"/>
      <c r="M50" s="649"/>
      <c r="N50" s="651"/>
      <c r="O50" s="651"/>
      <c r="P50" s="652">
        <f>SUM(P51:P53)</f>
        <v>11720000</v>
      </c>
      <c r="Q50" s="653">
        <f>P50</f>
        <v>11720000</v>
      </c>
      <c r="R50" s="653">
        <v>10500000</v>
      </c>
      <c r="S50" s="654">
        <f>Q50-R50</f>
        <v>1220000</v>
      </c>
      <c r="T50" s="655">
        <f t="shared" si="14"/>
        <v>0.11619047619047619</v>
      </c>
    </row>
    <row r="51" spans="1:20" ht="14.45" customHeight="1">
      <c r="A51" s="778"/>
      <c r="B51" s="786"/>
      <c r="C51" s="792"/>
      <c r="D51" s="786"/>
      <c r="F51" s="1415" t="s">
        <v>467</v>
      </c>
      <c r="G51" s="1424">
        <v>40000</v>
      </c>
      <c r="H51" s="1417" t="s">
        <v>21</v>
      </c>
      <c r="I51" s="1468">
        <v>1</v>
      </c>
      <c r="J51" s="1417" t="s">
        <v>21</v>
      </c>
      <c r="K51" s="1419">
        <v>12</v>
      </c>
      <c r="L51" s="1420"/>
      <c r="M51" s="1419"/>
      <c r="N51" s="1421"/>
      <c r="O51" s="1421" t="s">
        <v>22</v>
      </c>
      <c r="P51" s="1422">
        <f>ROUNDUP(G51*I51*K51,-3)</f>
        <v>480000</v>
      </c>
      <c r="Q51" s="694"/>
      <c r="R51" s="694"/>
      <c r="S51" s="695"/>
      <c r="T51" s="696"/>
    </row>
    <row r="52" spans="1:20" ht="14.45" customHeight="1">
      <c r="A52" s="778"/>
      <c r="B52" s="786"/>
      <c r="C52" s="792"/>
      <c r="D52" s="786"/>
      <c r="F52" s="1423" t="s">
        <v>1986</v>
      </c>
      <c r="G52" s="1459">
        <v>11000000</v>
      </c>
      <c r="H52" s="1417" t="s">
        <v>21</v>
      </c>
      <c r="I52" s="1468">
        <v>1</v>
      </c>
      <c r="J52" s="1417" t="s">
        <v>21</v>
      </c>
      <c r="K52" s="1419">
        <v>1</v>
      </c>
      <c r="L52" s="1420"/>
      <c r="M52" s="1419"/>
      <c r="N52" s="1421"/>
      <c r="O52" s="1421" t="s">
        <v>22</v>
      </c>
      <c r="P52" s="1422">
        <f>ROUNDUP(G52*I52*K52,-3)</f>
        <v>11000000</v>
      </c>
      <c r="Q52" s="694"/>
      <c r="R52" s="694"/>
      <c r="S52" s="695"/>
      <c r="T52" s="696"/>
    </row>
    <row r="53" spans="1:20" s="1371" customFormat="1" ht="14.45" customHeight="1">
      <c r="A53" s="1367"/>
      <c r="B53" s="1368"/>
      <c r="C53" s="1369"/>
      <c r="D53" s="1368"/>
      <c r="E53" s="3300"/>
      <c r="F53" s="1423" t="s">
        <v>1985</v>
      </c>
      <c r="G53" s="1459">
        <v>20000</v>
      </c>
      <c r="H53" s="1417" t="s">
        <v>21</v>
      </c>
      <c r="I53" s="1468">
        <v>1</v>
      </c>
      <c r="J53" s="1417" t="s">
        <v>21</v>
      </c>
      <c r="K53" s="1419">
        <v>12</v>
      </c>
      <c r="L53" s="1420"/>
      <c r="M53" s="1419"/>
      <c r="N53" s="1421"/>
      <c r="O53" s="1421" t="s">
        <v>22</v>
      </c>
      <c r="P53" s="1422">
        <f>ROUNDUP(G53*I53*K53,-3)</f>
        <v>240000</v>
      </c>
      <c r="Q53" s="694"/>
      <c r="R53" s="694"/>
      <c r="S53" s="695"/>
      <c r="T53" s="696"/>
    </row>
    <row r="54" spans="1:20" ht="14.45" customHeight="1">
      <c r="A54" s="778"/>
      <c r="B54" s="786"/>
      <c r="C54" s="792"/>
      <c r="D54" s="786"/>
      <c r="E54" s="3637" t="s">
        <v>3091</v>
      </c>
      <c r="F54" s="3638"/>
      <c r="G54" s="3638"/>
      <c r="H54" s="3638"/>
      <c r="I54" s="3638"/>
      <c r="J54" s="3638"/>
      <c r="K54" s="3638"/>
      <c r="L54" s="3638"/>
      <c r="M54" s="3638"/>
      <c r="N54" s="3638"/>
      <c r="O54" s="3638"/>
      <c r="P54" s="3639"/>
      <c r="Q54" s="645">
        <f>P55</f>
        <v>1220000</v>
      </c>
      <c r="R54" s="645">
        <v>310000</v>
      </c>
      <c r="S54" s="646">
        <f>Q54-R54</f>
        <v>910000</v>
      </c>
      <c r="T54" s="647">
        <f t="shared" ref="T54:T55" si="15">S54/R54</f>
        <v>2.935483870967742</v>
      </c>
    </row>
    <row r="55" spans="1:20" ht="14.45" customHeight="1">
      <c r="A55" s="778"/>
      <c r="B55" s="786"/>
      <c r="C55" s="792"/>
      <c r="D55" s="786"/>
      <c r="F55" s="1413" t="s">
        <v>94</v>
      </c>
      <c r="G55" s="650"/>
      <c r="H55" s="649"/>
      <c r="I55" s="649"/>
      <c r="J55" s="649"/>
      <c r="K55" s="649"/>
      <c r="L55" s="1414"/>
      <c r="M55" s="649"/>
      <c r="N55" s="651"/>
      <c r="O55" s="651"/>
      <c r="P55" s="652">
        <f>SUM(P56:P60)</f>
        <v>1220000</v>
      </c>
      <c r="Q55" s="653">
        <f>P55</f>
        <v>1220000</v>
      </c>
      <c r="R55" s="653">
        <v>310000</v>
      </c>
      <c r="S55" s="654">
        <f>Q55-R55</f>
        <v>910000</v>
      </c>
      <c r="T55" s="655">
        <f t="shared" si="15"/>
        <v>2.935483870967742</v>
      </c>
    </row>
    <row r="56" spans="1:20" ht="14.45" customHeight="1">
      <c r="A56" s="778"/>
      <c r="B56" s="786"/>
      <c r="C56" s="792"/>
      <c r="D56" s="786"/>
      <c r="F56" s="1415" t="s">
        <v>742</v>
      </c>
      <c r="G56" s="1424">
        <v>100000</v>
      </c>
      <c r="H56" s="1417" t="s">
        <v>21</v>
      </c>
      <c r="I56" s="1419">
        <v>1</v>
      </c>
      <c r="J56" s="1417"/>
      <c r="K56" s="1419"/>
      <c r="L56" s="1420"/>
      <c r="M56" s="1419"/>
      <c r="N56" s="1421"/>
      <c r="O56" s="1421" t="s">
        <v>22</v>
      </c>
      <c r="P56" s="1422">
        <f>ROUNDUP(G56*I56,-3)</f>
        <v>100000</v>
      </c>
      <c r="Q56" s="694"/>
      <c r="R56" s="694"/>
      <c r="S56" s="695"/>
      <c r="T56" s="696"/>
    </row>
    <row r="57" spans="1:20" ht="14.45" customHeight="1">
      <c r="A57" s="778"/>
      <c r="B57" s="786"/>
      <c r="C57" s="792"/>
      <c r="D57" s="786"/>
      <c r="F57" s="1415" t="s">
        <v>743</v>
      </c>
      <c r="G57" s="1424">
        <v>40000</v>
      </c>
      <c r="H57" s="1417" t="s">
        <v>21</v>
      </c>
      <c r="I57" s="1419">
        <v>3</v>
      </c>
      <c r="J57" s="1417"/>
      <c r="K57" s="1419"/>
      <c r="L57" s="1420"/>
      <c r="M57" s="1419"/>
      <c r="N57" s="1421"/>
      <c r="O57" s="1421" t="s">
        <v>22</v>
      </c>
      <c r="P57" s="1422">
        <f>ROUNDUP(G57*I57,-3)</f>
        <v>120000</v>
      </c>
      <c r="Q57" s="694"/>
      <c r="R57" s="694"/>
      <c r="S57" s="695"/>
      <c r="T57" s="696"/>
    </row>
    <row r="58" spans="1:20" ht="14.45" customHeight="1">
      <c r="A58" s="778"/>
      <c r="B58" s="786"/>
      <c r="C58" s="792"/>
      <c r="D58" s="786"/>
      <c r="F58" s="1415" t="s">
        <v>1987</v>
      </c>
      <c r="G58" s="1424">
        <v>200000</v>
      </c>
      <c r="H58" s="1417" t="s">
        <v>21</v>
      </c>
      <c r="I58" s="1419">
        <v>2</v>
      </c>
      <c r="J58" s="1417"/>
      <c r="K58" s="1419"/>
      <c r="L58" s="1420"/>
      <c r="M58" s="1419"/>
      <c r="N58" s="1421"/>
      <c r="O58" s="1421" t="s">
        <v>22</v>
      </c>
      <c r="P58" s="1422">
        <f>ROUNDUP(G58*I58,-3)</f>
        <v>400000</v>
      </c>
      <c r="Q58" s="694"/>
      <c r="R58" s="694"/>
      <c r="S58" s="695"/>
      <c r="T58" s="696"/>
    </row>
    <row r="59" spans="1:20" ht="14.45" customHeight="1">
      <c r="A59" s="778"/>
      <c r="B59" s="786"/>
      <c r="C59" s="792"/>
      <c r="D59" s="786"/>
      <c r="F59" s="1415" t="s">
        <v>746</v>
      </c>
      <c r="G59" s="1424">
        <v>300000</v>
      </c>
      <c r="H59" s="1417" t="s">
        <v>21</v>
      </c>
      <c r="I59" s="1419">
        <v>1</v>
      </c>
      <c r="J59" s="1417"/>
      <c r="K59" s="1419"/>
      <c r="L59" s="1420"/>
      <c r="M59" s="1419"/>
      <c r="N59" s="1421"/>
      <c r="O59" s="1421" t="s">
        <v>22</v>
      </c>
      <c r="P59" s="1422">
        <f>ROUNDUP(G59*I59,-3)</f>
        <v>300000</v>
      </c>
      <c r="Q59" s="694"/>
      <c r="R59" s="694"/>
      <c r="S59" s="695"/>
      <c r="T59" s="696"/>
    </row>
    <row r="60" spans="1:20" s="1371" customFormat="1" ht="14.45" customHeight="1">
      <c r="A60" s="1367"/>
      <c r="B60" s="1368"/>
      <c r="C60" s="1369"/>
      <c r="D60" s="1368"/>
      <c r="E60" s="3303"/>
      <c r="F60" s="1415" t="s">
        <v>747</v>
      </c>
      <c r="G60" s="1424">
        <v>300000</v>
      </c>
      <c r="H60" s="1417" t="s">
        <v>21</v>
      </c>
      <c r="I60" s="1419">
        <v>1</v>
      </c>
      <c r="J60" s="1417"/>
      <c r="K60" s="1419"/>
      <c r="L60" s="1420"/>
      <c r="M60" s="1419"/>
      <c r="N60" s="1421"/>
      <c r="O60" s="1421" t="s">
        <v>22</v>
      </c>
      <c r="P60" s="1422">
        <f>ROUNDUP(G60*I60,-3)</f>
        <v>300000</v>
      </c>
      <c r="Q60" s="694"/>
      <c r="R60" s="694"/>
      <c r="S60" s="695"/>
      <c r="T60" s="696"/>
    </row>
    <row r="61" spans="1:20" s="1371" customFormat="1" ht="14.45" customHeight="1">
      <c r="A61" s="1367"/>
      <c r="B61" s="1368"/>
      <c r="C61" s="1369"/>
      <c r="D61" s="1368"/>
      <c r="E61" s="3637" t="s">
        <v>197</v>
      </c>
      <c r="F61" s="3638"/>
      <c r="G61" s="3638"/>
      <c r="H61" s="3638"/>
      <c r="I61" s="3638"/>
      <c r="J61" s="3638"/>
      <c r="K61" s="3638"/>
      <c r="L61" s="3638"/>
      <c r="M61" s="3638"/>
      <c r="N61" s="3638"/>
      <c r="O61" s="3638"/>
      <c r="P61" s="3639"/>
      <c r="Q61" s="645">
        <f>ROUNDUP(P62,-3)</f>
        <v>510000</v>
      </c>
      <c r="R61" s="645">
        <v>375000</v>
      </c>
      <c r="S61" s="646">
        <f>Q61-R61</f>
        <v>135000</v>
      </c>
      <c r="T61" s="647">
        <f t="shared" ref="T61:T62" si="16">S61/R61</f>
        <v>0.36</v>
      </c>
    </row>
    <row r="62" spans="1:20" s="1371" customFormat="1" ht="14.45" customHeight="1">
      <c r="A62" s="1367"/>
      <c r="B62" s="1368"/>
      <c r="C62" s="1369"/>
      <c r="D62" s="1368"/>
      <c r="E62" s="1370"/>
      <c r="F62" s="1413" t="s">
        <v>97</v>
      </c>
      <c r="G62" s="650"/>
      <c r="H62" s="649"/>
      <c r="I62" s="649"/>
      <c r="J62" s="649"/>
      <c r="K62" s="649"/>
      <c r="L62" s="1414"/>
      <c r="M62" s="649"/>
      <c r="N62" s="651"/>
      <c r="O62" s="651"/>
      <c r="P62" s="652">
        <f>SUM(P63:P64)</f>
        <v>510000</v>
      </c>
      <c r="Q62" s="653">
        <f>P62</f>
        <v>510000</v>
      </c>
      <c r="R62" s="653">
        <v>375000</v>
      </c>
      <c r="S62" s="654">
        <f>Q62-R62</f>
        <v>135000</v>
      </c>
      <c r="T62" s="655">
        <f t="shared" si="16"/>
        <v>0.36</v>
      </c>
    </row>
    <row r="63" spans="1:20" s="1371" customFormat="1" ht="14.45" customHeight="1">
      <c r="A63" s="1367"/>
      <c r="B63" s="1368"/>
      <c r="C63" s="1369"/>
      <c r="D63" s="1368"/>
      <c r="E63" s="3300"/>
      <c r="F63" s="1423" t="s">
        <v>1988</v>
      </c>
      <c r="G63" s="1459">
        <v>30000</v>
      </c>
      <c r="H63" s="1417" t="s">
        <v>21</v>
      </c>
      <c r="I63" s="1469">
        <v>1</v>
      </c>
      <c r="J63" s="1417" t="s">
        <v>21</v>
      </c>
      <c r="K63" s="1419">
        <v>12</v>
      </c>
      <c r="L63" s="1420"/>
      <c r="M63" s="1419"/>
      <c r="N63" s="1421"/>
      <c r="O63" s="1421" t="s">
        <v>22</v>
      </c>
      <c r="P63" s="1422">
        <f>ROUNDUP(G63*I63*K63,-3)</f>
        <v>360000</v>
      </c>
      <c r="Q63" s="694"/>
      <c r="R63" s="694"/>
      <c r="S63" s="695"/>
      <c r="T63" s="696"/>
    </row>
    <row r="64" spans="1:20" s="1371" customFormat="1" ht="14.45" customHeight="1">
      <c r="A64" s="1367"/>
      <c r="B64" s="1368"/>
      <c r="C64" s="1369"/>
      <c r="D64" s="1368"/>
      <c r="E64" s="3300"/>
      <c r="F64" s="1423" t="s">
        <v>98</v>
      </c>
      <c r="G64" s="1459">
        <v>150000</v>
      </c>
      <c r="H64" s="1417" t="s">
        <v>21</v>
      </c>
      <c r="I64" s="1469">
        <v>1</v>
      </c>
      <c r="J64" s="1417"/>
      <c r="K64" s="1419"/>
      <c r="L64" s="1420"/>
      <c r="M64" s="1419"/>
      <c r="N64" s="1421"/>
      <c r="O64" s="1421" t="s">
        <v>22</v>
      </c>
      <c r="P64" s="1422">
        <f>ROUNDUP(G64*I64,-3)</f>
        <v>150000</v>
      </c>
      <c r="Q64" s="694"/>
      <c r="R64" s="694"/>
      <c r="S64" s="695"/>
      <c r="T64" s="696"/>
    </row>
    <row r="65" spans="1:20" s="1371" customFormat="1" ht="14.45" customHeight="1">
      <c r="A65" s="1367"/>
      <c r="B65" s="1368"/>
      <c r="C65" s="1369"/>
      <c r="D65" s="1368"/>
      <c r="E65" s="3637" t="s">
        <v>198</v>
      </c>
      <c r="F65" s="3638"/>
      <c r="G65" s="3638"/>
      <c r="H65" s="3638"/>
      <c r="I65" s="3638"/>
      <c r="J65" s="3638"/>
      <c r="K65" s="3638"/>
      <c r="L65" s="3638"/>
      <c r="M65" s="3638"/>
      <c r="N65" s="3638"/>
      <c r="O65" s="3638"/>
      <c r="P65" s="3639"/>
      <c r="Q65" s="645">
        <f>ROUNDUP(P66,-3)</f>
        <v>600000</v>
      </c>
      <c r="R65" s="645">
        <v>550000</v>
      </c>
      <c r="S65" s="646">
        <f>Q65-R65</f>
        <v>50000</v>
      </c>
      <c r="T65" s="647">
        <f t="shared" ref="T65:T66" si="17">S65/R65</f>
        <v>9.0909090909090912E-2</v>
      </c>
    </row>
    <row r="66" spans="1:20" s="1371" customFormat="1" ht="14.45" customHeight="1">
      <c r="A66" s="1367"/>
      <c r="B66" s="1368"/>
      <c r="C66" s="1369"/>
      <c r="D66" s="1368"/>
      <c r="E66" s="1370"/>
      <c r="F66" s="1413" t="s">
        <v>471</v>
      </c>
      <c r="G66" s="650"/>
      <c r="H66" s="649"/>
      <c r="I66" s="649"/>
      <c r="J66" s="649"/>
      <c r="K66" s="649"/>
      <c r="L66" s="1414"/>
      <c r="M66" s="649"/>
      <c r="N66" s="651"/>
      <c r="O66" s="651"/>
      <c r="P66" s="652">
        <f>SUM(P67:P67)</f>
        <v>600000</v>
      </c>
      <c r="Q66" s="653">
        <f>P66</f>
        <v>600000</v>
      </c>
      <c r="R66" s="653">
        <v>550000</v>
      </c>
      <c r="S66" s="654">
        <f>Q66-R66</f>
        <v>50000</v>
      </c>
      <c r="T66" s="655">
        <f t="shared" si="17"/>
        <v>9.0909090909090912E-2</v>
      </c>
    </row>
    <row r="67" spans="1:20" s="1371" customFormat="1" ht="14.45" customHeight="1">
      <c r="A67" s="1367"/>
      <c r="B67" s="1368"/>
      <c r="C67" s="1369"/>
      <c r="D67" s="1368"/>
      <c r="E67" s="3300"/>
      <c r="F67" s="1415" t="s">
        <v>472</v>
      </c>
      <c r="G67" s="1424">
        <v>600000</v>
      </c>
      <c r="H67" s="1417" t="s">
        <v>21</v>
      </c>
      <c r="I67" s="1467">
        <v>1</v>
      </c>
      <c r="J67" s="1417"/>
      <c r="K67" s="1419"/>
      <c r="L67" s="1420"/>
      <c r="M67" s="1419"/>
      <c r="N67" s="1421"/>
      <c r="O67" s="1421" t="s">
        <v>22</v>
      </c>
      <c r="P67" s="1422">
        <f>ROUNDUP(G67*I67,-3)</f>
        <v>600000</v>
      </c>
      <c r="Q67" s="694"/>
      <c r="R67" s="694"/>
      <c r="S67" s="695"/>
      <c r="T67" s="696"/>
    </row>
    <row r="68" spans="1:20" s="1371" customFormat="1" ht="14.45" customHeight="1">
      <c r="A68" s="1367"/>
      <c r="B68" s="1368"/>
      <c r="C68" s="1369"/>
      <c r="D68" s="1368"/>
      <c r="E68" s="3637" t="s">
        <v>221</v>
      </c>
      <c r="F68" s="3638"/>
      <c r="G68" s="3638"/>
      <c r="H68" s="3638"/>
      <c r="I68" s="3638"/>
      <c r="J68" s="3638"/>
      <c r="K68" s="3638"/>
      <c r="L68" s="3638"/>
      <c r="M68" s="3638"/>
      <c r="N68" s="3638"/>
      <c r="O68" s="3638"/>
      <c r="P68" s="3639"/>
      <c r="Q68" s="645">
        <v>0</v>
      </c>
      <c r="R68" s="645">
        <v>3000000</v>
      </c>
      <c r="S68" s="646">
        <f>Q68-R68</f>
        <v>-3000000</v>
      </c>
      <c r="T68" s="647">
        <f t="shared" ref="T68" si="18">S68/R68</f>
        <v>-1</v>
      </c>
    </row>
    <row r="69" spans="1:20" ht="14.45" customHeight="1">
      <c r="A69" s="778"/>
      <c r="B69" s="786"/>
      <c r="C69" s="792"/>
      <c r="D69" s="786"/>
      <c r="E69" s="3637" t="s">
        <v>3162</v>
      </c>
      <c r="F69" s="3638"/>
      <c r="G69" s="3638"/>
      <c r="H69" s="3638"/>
      <c r="I69" s="3638"/>
      <c r="J69" s="3638"/>
      <c r="K69" s="3638"/>
      <c r="L69" s="3638"/>
      <c r="M69" s="3638"/>
      <c r="N69" s="3638"/>
      <c r="O69" s="3638"/>
      <c r="P69" s="3639"/>
      <c r="Q69" s="645">
        <f>P70</f>
        <v>450000</v>
      </c>
      <c r="R69" s="645">
        <v>0</v>
      </c>
      <c r="S69" s="646">
        <f>Q69-R69</f>
        <v>450000</v>
      </c>
      <c r="T69" s="647"/>
    </row>
    <row r="70" spans="1:20" ht="14.45" customHeight="1">
      <c r="A70" s="778"/>
      <c r="B70" s="786"/>
      <c r="C70" s="792"/>
      <c r="D70" s="786"/>
      <c r="E70" s="1143"/>
      <c r="F70" s="1413" t="s">
        <v>1018</v>
      </c>
      <c r="G70" s="650"/>
      <c r="H70" s="649"/>
      <c r="I70" s="649"/>
      <c r="J70" s="649"/>
      <c r="K70" s="649"/>
      <c r="L70" s="1414"/>
      <c r="M70" s="649"/>
      <c r="N70" s="651"/>
      <c r="O70" s="651"/>
      <c r="P70" s="652">
        <f>SUM(P71:P71)</f>
        <v>450000</v>
      </c>
      <c r="Q70" s="653">
        <f>P70</f>
        <v>450000</v>
      </c>
      <c r="R70" s="653">
        <v>0</v>
      </c>
      <c r="S70" s="654">
        <f>Q70-R70</f>
        <v>450000</v>
      </c>
      <c r="T70" s="655"/>
    </row>
    <row r="71" spans="1:20" ht="14.45" customHeight="1">
      <c r="A71" s="778"/>
      <c r="B71" s="786"/>
      <c r="C71" s="792"/>
      <c r="D71" s="786"/>
      <c r="E71" s="3306"/>
      <c r="F71" s="1415" t="s">
        <v>1350</v>
      </c>
      <c r="G71" s="1424">
        <v>150000</v>
      </c>
      <c r="H71" s="1417" t="s">
        <v>21</v>
      </c>
      <c r="I71" s="1418">
        <v>3</v>
      </c>
      <c r="J71" s="1417"/>
      <c r="K71" s="1419"/>
      <c r="L71" s="1420"/>
      <c r="M71" s="1419"/>
      <c r="N71" s="1421"/>
      <c r="O71" s="1421" t="s">
        <v>22</v>
      </c>
      <c r="P71" s="1422">
        <f>ROUNDUP(G71*I71,-3)</f>
        <v>450000</v>
      </c>
      <c r="Q71" s="694"/>
      <c r="R71" s="694"/>
      <c r="S71" s="695"/>
      <c r="T71" s="696"/>
    </row>
    <row r="72" spans="1:20" s="1472" customFormat="1" ht="14.45" customHeight="1">
      <c r="A72" s="1470"/>
      <c r="B72" s="1471"/>
      <c r="C72" s="1471"/>
      <c r="D72" s="1471"/>
      <c r="E72" s="3637" t="s">
        <v>3163</v>
      </c>
      <c r="F72" s="3638"/>
      <c r="G72" s="3638"/>
      <c r="H72" s="3638"/>
      <c r="I72" s="3638"/>
      <c r="J72" s="3638"/>
      <c r="K72" s="3638"/>
      <c r="L72" s="3638"/>
      <c r="M72" s="3638"/>
      <c r="N72" s="3638"/>
      <c r="O72" s="3638"/>
      <c r="P72" s="3639"/>
      <c r="Q72" s="645">
        <f>P73</f>
        <v>200000</v>
      </c>
      <c r="R72" s="645">
        <v>600000</v>
      </c>
      <c r="S72" s="646">
        <f>Q72-R72</f>
        <v>-400000</v>
      </c>
      <c r="T72" s="647">
        <f t="shared" ref="T72:T73" si="19">S72/R72</f>
        <v>-0.66666666666666663</v>
      </c>
    </row>
    <row r="73" spans="1:20" s="1472" customFormat="1" ht="14.45" customHeight="1">
      <c r="A73" s="1470"/>
      <c r="B73" s="1471"/>
      <c r="C73" s="1471"/>
      <c r="D73" s="1471"/>
      <c r="E73" s="3518"/>
      <c r="F73" s="1413" t="s">
        <v>1989</v>
      </c>
      <c r="G73" s="650"/>
      <c r="H73" s="649"/>
      <c r="I73" s="649"/>
      <c r="J73" s="649"/>
      <c r="K73" s="649"/>
      <c r="L73" s="1414"/>
      <c r="M73" s="649"/>
      <c r="N73" s="651"/>
      <c r="O73" s="651"/>
      <c r="P73" s="652">
        <f>SUM(P74:P74)</f>
        <v>200000</v>
      </c>
      <c r="Q73" s="653">
        <f>P73</f>
        <v>200000</v>
      </c>
      <c r="R73" s="653">
        <v>600000</v>
      </c>
      <c r="S73" s="654">
        <f>Q73-R73</f>
        <v>-400000</v>
      </c>
      <c r="T73" s="655">
        <f t="shared" si="19"/>
        <v>-0.66666666666666663</v>
      </c>
    </row>
    <row r="74" spans="1:20" s="1472" customFormat="1" ht="14.45" customHeight="1">
      <c r="A74" s="3519"/>
      <c r="B74" s="3084"/>
      <c r="C74" s="3520"/>
      <c r="D74" s="3084"/>
      <c r="E74" s="3521"/>
      <c r="F74" s="3522" t="s">
        <v>1990</v>
      </c>
      <c r="G74" s="1443">
        <v>200000</v>
      </c>
      <c r="H74" s="1444" t="s">
        <v>21</v>
      </c>
      <c r="I74" s="3523">
        <v>1</v>
      </c>
      <c r="J74" s="1444"/>
      <c r="K74" s="1466"/>
      <c r="L74" s="1447"/>
      <c r="M74" s="1446"/>
      <c r="N74" s="1448"/>
      <c r="O74" s="1448" t="s">
        <v>22</v>
      </c>
      <c r="P74" s="1449">
        <f>ROUNDUP(G74*I74,-3)</f>
        <v>200000</v>
      </c>
      <c r="Q74" s="712"/>
      <c r="R74" s="712"/>
      <c r="S74" s="713"/>
      <c r="T74" s="714"/>
    </row>
    <row r="75" spans="1:20" s="1371" customFormat="1" ht="14.45" customHeight="1">
      <c r="A75" s="1367"/>
      <c r="B75" s="1368"/>
      <c r="C75" s="1369"/>
      <c r="D75" s="1368"/>
      <c r="E75" s="3763" t="s">
        <v>3164</v>
      </c>
      <c r="F75" s="3764"/>
      <c r="G75" s="3764"/>
      <c r="H75" s="3764"/>
      <c r="I75" s="3764"/>
      <c r="J75" s="3764"/>
      <c r="K75" s="3764"/>
      <c r="L75" s="3764"/>
      <c r="M75" s="3764"/>
      <c r="N75" s="3764"/>
      <c r="O75" s="3764"/>
      <c r="P75" s="3765"/>
      <c r="Q75" s="1049">
        <v>0</v>
      </c>
      <c r="R75" s="1049">
        <v>200000</v>
      </c>
      <c r="S75" s="1050">
        <f>Q75-R75</f>
        <v>-200000</v>
      </c>
      <c r="T75" s="1051">
        <f t="shared" ref="T75" si="20">S75/R75</f>
        <v>-1</v>
      </c>
    </row>
    <row r="76" spans="1:20" s="1137" customFormat="1" ht="15" customHeight="1">
      <c r="A76" s="1166"/>
      <c r="B76" s="1139"/>
      <c r="C76" s="3685" t="s">
        <v>203</v>
      </c>
      <c r="D76" s="3686"/>
      <c r="E76" s="3686"/>
      <c r="F76" s="3686"/>
      <c r="G76" s="3686"/>
      <c r="H76" s="3686"/>
      <c r="I76" s="3686"/>
      <c r="J76" s="3686"/>
      <c r="K76" s="3686"/>
      <c r="L76" s="3686"/>
      <c r="M76" s="3686"/>
      <c r="N76" s="3686"/>
      <c r="O76" s="3686"/>
      <c r="P76" s="3687"/>
      <c r="Q76" s="1140">
        <f>Q77+Q79</f>
        <v>6610000</v>
      </c>
      <c r="R76" s="1140">
        <f>R77+R79</f>
        <v>0</v>
      </c>
      <c r="S76" s="1141">
        <f t="shared" ref="S76:S77" si="21">Q76-R76</f>
        <v>6610000</v>
      </c>
      <c r="T76" s="1142"/>
    </row>
    <row r="77" spans="1:20" s="1137" customFormat="1" ht="15" customHeight="1">
      <c r="A77" s="1166"/>
      <c r="B77" s="1139"/>
      <c r="C77" s="1168"/>
      <c r="D77" s="1474" t="s">
        <v>120</v>
      </c>
      <c r="E77" s="3296"/>
      <c r="F77" s="1475"/>
      <c r="G77" s="1476"/>
      <c r="H77" s="1477"/>
      <c r="I77" s="1477"/>
      <c r="J77" s="1477"/>
      <c r="K77" s="1477"/>
      <c r="L77" s="1478"/>
      <c r="M77" s="1477"/>
      <c r="N77" s="1479"/>
      <c r="O77" s="1479"/>
      <c r="P77" s="1477"/>
      <c r="Q77" s="1480">
        <f>Q78</f>
        <v>0</v>
      </c>
      <c r="R77" s="1480">
        <f>R78</f>
        <v>0</v>
      </c>
      <c r="S77" s="1149">
        <f t="shared" si="21"/>
        <v>0</v>
      </c>
      <c r="T77" s="1481"/>
    </row>
    <row r="78" spans="1:20" s="1137" customFormat="1" ht="15" customHeight="1">
      <c r="A78" s="1166"/>
      <c r="B78" s="1139"/>
      <c r="C78" s="1168"/>
      <c r="D78" s="1167"/>
      <c r="E78" s="3637" t="s">
        <v>256</v>
      </c>
      <c r="F78" s="3638"/>
      <c r="G78" s="3638"/>
      <c r="H78" s="3638"/>
      <c r="I78" s="3638"/>
      <c r="J78" s="3638"/>
      <c r="K78" s="3638"/>
      <c r="L78" s="3638"/>
      <c r="M78" s="3638"/>
      <c r="N78" s="3638"/>
      <c r="O78" s="3638"/>
      <c r="P78" s="3639"/>
      <c r="Q78" s="1154">
        <v>0</v>
      </c>
      <c r="R78" s="1154">
        <v>0</v>
      </c>
      <c r="S78" s="1155">
        <f>Q78-R78</f>
        <v>0</v>
      </c>
      <c r="T78" s="1288"/>
    </row>
    <row r="79" spans="1:20" s="1137" customFormat="1" ht="15" customHeight="1">
      <c r="A79" s="1166"/>
      <c r="B79" s="1139"/>
      <c r="C79" s="1168"/>
      <c r="D79" s="1474" t="s">
        <v>121</v>
      </c>
      <c r="E79" s="3296"/>
      <c r="F79" s="1475"/>
      <c r="G79" s="1476"/>
      <c r="H79" s="1477"/>
      <c r="I79" s="1477"/>
      <c r="J79" s="1477"/>
      <c r="K79" s="1477"/>
      <c r="L79" s="1478"/>
      <c r="M79" s="1477"/>
      <c r="N79" s="1479"/>
      <c r="O79" s="1479"/>
      <c r="P79" s="1477"/>
      <c r="Q79" s="1480">
        <f>SUM(Q80,Q92,Q95)</f>
        <v>6610000</v>
      </c>
      <c r="R79" s="1480">
        <f>R80+R92+R95</f>
        <v>0</v>
      </c>
      <c r="S79" s="1149">
        <f>Q79-R79</f>
        <v>6610000</v>
      </c>
      <c r="T79" s="1481"/>
    </row>
    <row r="80" spans="1:20" s="1137" customFormat="1" ht="15" customHeight="1">
      <c r="A80" s="1166"/>
      <c r="B80" s="1139"/>
      <c r="C80" s="1168"/>
      <c r="D80" s="1167"/>
      <c r="E80" s="3637" t="s">
        <v>3007</v>
      </c>
      <c r="F80" s="3638"/>
      <c r="G80" s="3638"/>
      <c r="H80" s="3638"/>
      <c r="I80" s="3638"/>
      <c r="J80" s="3638"/>
      <c r="K80" s="3638"/>
      <c r="L80" s="3638"/>
      <c r="M80" s="3638"/>
      <c r="N80" s="3638"/>
      <c r="O80" s="3638"/>
      <c r="P80" s="3639"/>
      <c r="Q80" s="1154">
        <f>P81</f>
        <v>2200000</v>
      </c>
      <c r="R80" s="1154">
        <v>0</v>
      </c>
      <c r="S80" s="1155">
        <f>Q80-R80</f>
        <v>2200000</v>
      </c>
      <c r="T80" s="1288"/>
    </row>
    <row r="81" spans="1:20" s="1137" customFormat="1" ht="15" customHeight="1">
      <c r="A81" s="1166"/>
      <c r="B81" s="1139"/>
      <c r="C81" s="1168"/>
      <c r="D81" s="1139"/>
      <c r="E81" s="1143"/>
      <c r="F81" s="1413" t="s">
        <v>2331</v>
      </c>
      <c r="G81" s="650"/>
      <c r="H81" s="649"/>
      <c r="I81" s="649"/>
      <c r="J81" s="649"/>
      <c r="K81" s="649"/>
      <c r="L81" s="1414"/>
      <c r="M81" s="649"/>
      <c r="N81" s="651"/>
      <c r="O81" s="651"/>
      <c r="P81" s="652">
        <f>P82+P86+P87+P91</f>
        <v>2200000</v>
      </c>
      <c r="Q81" s="653">
        <f>P81</f>
        <v>2200000</v>
      </c>
      <c r="R81" s="653">
        <v>0</v>
      </c>
      <c r="S81" s="654">
        <f>Q81-R81</f>
        <v>2200000</v>
      </c>
      <c r="T81" s="655"/>
    </row>
    <row r="82" spans="1:20" s="1137" customFormat="1" ht="15" customHeight="1">
      <c r="A82" s="1166"/>
      <c r="B82" s="1139"/>
      <c r="C82" s="1168"/>
      <c r="D82" s="1139"/>
      <c r="E82" s="1143"/>
      <c r="F82" s="1491" t="s">
        <v>2827</v>
      </c>
      <c r="G82" s="1459"/>
      <c r="H82" s="1417"/>
      <c r="I82" s="1417"/>
      <c r="J82" s="1417"/>
      <c r="K82" s="1417"/>
      <c r="L82" s="1492"/>
      <c r="M82" s="1417"/>
      <c r="N82" s="1421"/>
      <c r="O82" s="1421"/>
      <c r="P82" s="1493">
        <f>SUM(P83:P85)</f>
        <v>600000</v>
      </c>
      <c r="Q82" s="694"/>
      <c r="R82" s="694"/>
      <c r="S82" s="695"/>
      <c r="T82" s="696"/>
    </row>
    <row r="83" spans="1:20" s="1137" customFormat="1" ht="15" customHeight="1">
      <c r="A83" s="1166"/>
      <c r="B83" s="1139"/>
      <c r="C83" s="1168"/>
      <c r="D83" s="1139"/>
      <c r="E83" s="1143"/>
      <c r="F83" s="1491" t="s">
        <v>2828</v>
      </c>
      <c r="G83" s="1459">
        <v>300000</v>
      </c>
      <c r="H83" s="1417" t="s">
        <v>21</v>
      </c>
      <c r="I83" s="1418">
        <v>1</v>
      </c>
      <c r="J83" s="1417"/>
      <c r="K83" s="1417"/>
      <c r="L83" s="1492"/>
      <c r="M83" s="1417"/>
      <c r="N83" s="1421"/>
      <c r="O83" s="1421" t="s">
        <v>2829</v>
      </c>
      <c r="P83" s="1422">
        <f>G83*I83</f>
        <v>300000</v>
      </c>
      <c r="Q83" s="694"/>
      <c r="R83" s="694"/>
      <c r="S83" s="695"/>
      <c r="T83" s="696"/>
    </row>
    <row r="84" spans="1:20" s="1137" customFormat="1" ht="15" customHeight="1">
      <c r="A84" s="1166"/>
      <c r="B84" s="1139"/>
      <c r="C84" s="1168"/>
      <c r="D84" s="1139"/>
      <c r="E84" s="1143"/>
      <c r="F84" s="1491" t="s">
        <v>2830</v>
      </c>
      <c r="G84" s="1459">
        <v>200000</v>
      </c>
      <c r="H84" s="1417" t="s">
        <v>21</v>
      </c>
      <c r="I84" s="1467">
        <v>1</v>
      </c>
      <c r="J84" s="1417"/>
      <c r="K84" s="1417"/>
      <c r="L84" s="1492"/>
      <c r="M84" s="1417"/>
      <c r="N84" s="1421"/>
      <c r="O84" s="1421" t="s">
        <v>1037</v>
      </c>
      <c r="P84" s="1422">
        <f>G84*I84</f>
        <v>200000</v>
      </c>
      <c r="Q84" s="694"/>
      <c r="R84" s="694"/>
      <c r="S84" s="695"/>
      <c r="T84" s="696"/>
    </row>
    <row r="85" spans="1:20" s="1137" customFormat="1" ht="15" customHeight="1">
      <c r="A85" s="1166"/>
      <c r="B85" s="1139"/>
      <c r="C85" s="1168"/>
      <c r="D85" s="1139"/>
      <c r="E85" s="1143"/>
      <c r="F85" s="1491" t="s">
        <v>2831</v>
      </c>
      <c r="G85" s="1459">
        <v>100000</v>
      </c>
      <c r="H85" s="1417" t="s">
        <v>21</v>
      </c>
      <c r="I85" s="1467">
        <v>1</v>
      </c>
      <c r="J85" s="1417"/>
      <c r="K85" s="1417"/>
      <c r="L85" s="1492"/>
      <c r="M85" s="1417"/>
      <c r="N85" s="1421"/>
      <c r="O85" s="1421" t="s">
        <v>2829</v>
      </c>
      <c r="P85" s="1422">
        <f>G85*I85</f>
        <v>100000</v>
      </c>
      <c r="Q85" s="694"/>
      <c r="R85" s="694"/>
      <c r="S85" s="695"/>
      <c r="T85" s="696"/>
    </row>
    <row r="86" spans="1:20" s="1137" customFormat="1" ht="15" customHeight="1">
      <c r="A86" s="1166"/>
      <c r="B86" s="1139"/>
      <c r="C86" s="1168"/>
      <c r="D86" s="1139"/>
      <c r="E86" s="1143"/>
      <c r="F86" s="1491" t="s">
        <v>2832</v>
      </c>
      <c r="G86" s="1459">
        <v>25000</v>
      </c>
      <c r="H86" s="1417" t="s">
        <v>21</v>
      </c>
      <c r="I86" s="1494">
        <v>4</v>
      </c>
      <c r="J86" s="1417" t="s">
        <v>21</v>
      </c>
      <c r="K86" s="1419">
        <v>10</v>
      </c>
      <c r="L86" s="1492"/>
      <c r="M86" s="1417"/>
      <c r="N86" s="1421"/>
      <c r="O86" s="1421" t="s">
        <v>2829</v>
      </c>
      <c r="P86" s="1493">
        <f>G86*I86*K86</f>
        <v>1000000</v>
      </c>
      <c r="Q86" s="694"/>
      <c r="R86" s="694"/>
      <c r="S86" s="695"/>
      <c r="T86" s="696"/>
    </row>
    <row r="87" spans="1:20" s="1137" customFormat="1" ht="15" customHeight="1">
      <c r="A87" s="1166"/>
      <c r="B87" s="1139"/>
      <c r="C87" s="1168"/>
      <c r="D87" s="1139"/>
      <c r="E87" s="1143"/>
      <c r="F87" s="1491" t="s">
        <v>2833</v>
      </c>
      <c r="G87" s="1459"/>
      <c r="H87" s="1417"/>
      <c r="I87" s="1417"/>
      <c r="J87" s="1417"/>
      <c r="K87" s="1417"/>
      <c r="L87" s="1492"/>
      <c r="M87" s="1417"/>
      <c r="N87" s="1421"/>
      <c r="O87" s="1421"/>
      <c r="P87" s="1493">
        <f>SUM(P88:P90)</f>
        <v>400000</v>
      </c>
      <c r="Q87" s="694"/>
      <c r="R87" s="694"/>
      <c r="S87" s="695"/>
      <c r="T87" s="696"/>
    </row>
    <row r="88" spans="1:20" s="1137" customFormat="1" ht="15" customHeight="1">
      <c r="A88" s="1166"/>
      <c r="B88" s="1139"/>
      <c r="C88" s="1168"/>
      <c r="D88" s="1139"/>
      <c r="E88" s="1143"/>
      <c r="F88" s="1491" t="s">
        <v>2830</v>
      </c>
      <c r="G88" s="1459">
        <v>200000</v>
      </c>
      <c r="H88" s="2554" t="s">
        <v>21</v>
      </c>
      <c r="I88" s="1467">
        <v>1</v>
      </c>
      <c r="J88" s="1417"/>
      <c r="K88" s="1417"/>
      <c r="L88" s="1492"/>
      <c r="M88" s="1417"/>
      <c r="N88" s="1421"/>
      <c r="O88" s="1421" t="s">
        <v>2829</v>
      </c>
      <c r="P88" s="1422">
        <f t="shared" ref="P88:P89" si="22">G88*I88</f>
        <v>200000</v>
      </c>
      <c r="Q88" s="694"/>
      <c r="R88" s="694"/>
      <c r="S88" s="695"/>
      <c r="T88" s="696"/>
    </row>
    <row r="89" spans="1:20" s="1137" customFormat="1" ht="15" customHeight="1">
      <c r="A89" s="1166"/>
      <c r="B89" s="1139"/>
      <c r="C89" s="1168"/>
      <c r="D89" s="1139"/>
      <c r="E89" s="1143"/>
      <c r="F89" s="1491" t="s">
        <v>2834</v>
      </c>
      <c r="G89" s="1459">
        <v>100000</v>
      </c>
      <c r="H89" s="2554" t="s">
        <v>21</v>
      </c>
      <c r="I89" s="1467">
        <v>1</v>
      </c>
      <c r="J89" s="1417"/>
      <c r="K89" s="1417"/>
      <c r="L89" s="1492"/>
      <c r="M89" s="1417"/>
      <c r="N89" s="1421"/>
      <c r="O89" s="1421" t="s">
        <v>2829</v>
      </c>
      <c r="P89" s="1422">
        <f t="shared" si="22"/>
        <v>100000</v>
      </c>
      <c r="Q89" s="694"/>
      <c r="R89" s="694"/>
      <c r="S89" s="695"/>
      <c r="T89" s="696"/>
    </row>
    <row r="90" spans="1:20" s="1137" customFormat="1" ht="15" customHeight="1">
      <c r="A90" s="1166"/>
      <c r="B90" s="1139"/>
      <c r="C90" s="1168"/>
      <c r="D90" s="1139"/>
      <c r="E90" s="1143"/>
      <c r="F90" s="1491" t="s">
        <v>2835</v>
      </c>
      <c r="G90" s="1459">
        <v>100000</v>
      </c>
      <c r="H90" s="1417" t="s">
        <v>21</v>
      </c>
      <c r="I90" s="1467">
        <v>1</v>
      </c>
      <c r="J90" s="1417"/>
      <c r="K90" s="1417"/>
      <c r="L90" s="1492"/>
      <c r="M90" s="1417"/>
      <c r="N90" s="1421"/>
      <c r="O90" s="1421" t="s">
        <v>2829</v>
      </c>
      <c r="P90" s="1422">
        <f>G90*I90</f>
        <v>100000</v>
      </c>
      <c r="Q90" s="694"/>
      <c r="R90" s="694"/>
      <c r="S90" s="695"/>
      <c r="T90" s="696"/>
    </row>
    <row r="91" spans="1:20" s="1137" customFormat="1" ht="15" customHeight="1">
      <c r="A91" s="1166"/>
      <c r="B91" s="1139"/>
      <c r="C91" s="1168"/>
      <c r="D91" s="1139"/>
      <c r="E91" s="1143"/>
      <c r="F91" s="1491" t="s">
        <v>2836</v>
      </c>
      <c r="G91" s="1459">
        <v>40000</v>
      </c>
      <c r="H91" s="1417" t="s">
        <v>21</v>
      </c>
      <c r="I91" s="1469">
        <v>5</v>
      </c>
      <c r="J91" s="1417"/>
      <c r="K91" s="1417"/>
      <c r="L91" s="1492"/>
      <c r="M91" s="1417"/>
      <c r="N91" s="1421"/>
      <c r="O91" s="1421" t="s">
        <v>2829</v>
      </c>
      <c r="P91" s="1493">
        <f>G91*I91</f>
        <v>200000</v>
      </c>
      <c r="Q91" s="694"/>
      <c r="R91" s="694"/>
      <c r="S91" s="695"/>
      <c r="T91" s="696"/>
    </row>
    <row r="92" spans="1:20" s="1137" customFormat="1" ht="15" customHeight="1">
      <c r="A92" s="1166"/>
      <c r="B92" s="1139"/>
      <c r="C92" s="1168"/>
      <c r="D92" s="1139"/>
      <c r="E92" s="3637" t="s">
        <v>316</v>
      </c>
      <c r="F92" s="3638"/>
      <c r="G92" s="3638"/>
      <c r="H92" s="3638"/>
      <c r="I92" s="3638"/>
      <c r="J92" s="3638"/>
      <c r="K92" s="3638"/>
      <c r="L92" s="3638"/>
      <c r="M92" s="3638"/>
      <c r="N92" s="3638"/>
      <c r="O92" s="3638"/>
      <c r="P92" s="3639"/>
      <c r="Q92" s="1154">
        <f>P93</f>
        <v>560000</v>
      </c>
      <c r="R92" s="1154">
        <v>0</v>
      </c>
      <c r="S92" s="1155">
        <f>Q92-R92</f>
        <v>560000</v>
      </c>
      <c r="T92" s="1288"/>
    </row>
    <row r="93" spans="1:20" s="1137" customFormat="1" ht="15" customHeight="1">
      <c r="A93" s="1166"/>
      <c r="B93" s="1139"/>
      <c r="C93" s="1168"/>
      <c r="D93" s="1139"/>
      <c r="E93" s="1143"/>
      <c r="F93" s="1413" t="s">
        <v>1991</v>
      </c>
      <c r="G93" s="650"/>
      <c r="H93" s="649"/>
      <c r="I93" s="649"/>
      <c r="J93" s="649"/>
      <c r="K93" s="649"/>
      <c r="L93" s="1414"/>
      <c r="M93" s="649"/>
      <c r="N93" s="651"/>
      <c r="O93" s="651"/>
      <c r="P93" s="652">
        <f>SUM(P94:P94)</f>
        <v>560000</v>
      </c>
      <c r="Q93" s="653">
        <f>P93</f>
        <v>560000</v>
      </c>
      <c r="R93" s="653">
        <v>0</v>
      </c>
      <c r="S93" s="654">
        <f>Q93-R93</f>
        <v>560000</v>
      </c>
      <c r="T93" s="655"/>
    </row>
    <row r="94" spans="1:20" s="1137" customFormat="1" ht="15" customHeight="1">
      <c r="A94" s="1166"/>
      <c r="B94" s="1139"/>
      <c r="C94" s="1168"/>
      <c r="D94" s="1139"/>
      <c r="E94" s="3306"/>
      <c r="F94" s="1491" t="s">
        <v>2837</v>
      </c>
      <c r="G94" s="1424">
        <v>80000</v>
      </c>
      <c r="H94" s="1417" t="s">
        <v>21</v>
      </c>
      <c r="I94" s="1469">
        <v>7</v>
      </c>
      <c r="J94" s="1417"/>
      <c r="K94" s="1419"/>
      <c r="L94" s="1420"/>
      <c r="M94" s="1419"/>
      <c r="N94" s="1421"/>
      <c r="O94" s="1421" t="s">
        <v>22</v>
      </c>
      <c r="P94" s="1422">
        <f>G94*I94</f>
        <v>560000</v>
      </c>
      <c r="Q94" s="694"/>
      <c r="R94" s="694"/>
      <c r="S94" s="695"/>
      <c r="T94" s="696"/>
    </row>
    <row r="95" spans="1:20" s="1137" customFormat="1" ht="15" customHeight="1">
      <c r="A95" s="1166"/>
      <c r="B95" s="1139"/>
      <c r="C95" s="1168"/>
      <c r="D95" s="1139"/>
      <c r="E95" s="3637" t="s">
        <v>3009</v>
      </c>
      <c r="F95" s="3638"/>
      <c r="G95" s="3638"/>
      <c r="H95" s="3638"/>
      <c r="I95" s="3638"/>
      <c r="J95" s="3638"/>
      <c r="K95" s="3638"/>
      <c r="L95" s="3638"/>
      <c r="M95" s="3638"/>
      <c r="N95" s="3638"/>
      <c r="O95" s="3638"/>
      <c r="P95" s="3639"/>
      <c r="Q95" s="1154">
        <f>P96+P100</f>
        <v>3850000</v>
      </c>
      <c r="R95" s="1154">
        <v>0</v>
      </c>
      <c r="S95" s="1155">
        <f>Q95-R95</f>
        <v>3850000</v>
      </c>
      <c r="T95" s="1288"/>
    </row>
    <row r="96" spans="1:20" s="1137" customFormat="1" ht="15" customHeight="1">
      <c r="A96" s="1166"/>
      <c r="B96" s="1139"/>
      <c r="C96" s="1168"/>
      <c r="D96" s="1139"/>
      <c r="E96" s="3307"/>
      <c r="F96" s="1413" t="s">
        <v>1992</v>
      </c>
      <c r="G96" s="650"/>
      <c r="H96" s="649"/>
      <c r="I96" s="649"/>
      <c r="J96" s="649"/>
      <c r="K96" s="649"/>
      <c r="L96" s="1414"/>
      <c r="M96" s="649"/>
      <c r="N96" s="651"/>
      <c r="O96" s="651"/>
      <c r="P96" s="652">
        <f>SUM(P97:P99)</f>
        <v>2000000</v>
      </c>
      <c r="Q96" s="653">
        <f>P96</f>
        <v>2000000</v>
      </c>
      <c r="R96" s="653">
        <v>0</v>
      </c>
      <c r="S96" s="654">
        <f>Q96-R96</f>
        <v>2000000</v>
      </c>
      <c r="T96" s="655"/>
    </row>
    <row r="97" spans="1:20" s="1137" customFormat="1" ht="15" customHeight="1">
      <c r="A97" s="1166"/>
      <c r="B97" s="1139"/>
      <c r="C97" s="1168"/>
      <c r="D97" s="1139"/>
      <c r="E97" s="1143"/>
      <c r="F97" s="1491" t="s">
        <v>2838</v>
      </c>
      <c r="G97" s="1459">
        <v>100000</v>
      </c>
      <c r="H97" s="1417" t="s">
        <v>21</v>
      </c>
      <c r="I97" s="1469">
        <v>15</v>
      </c>
      <c r="J97" s="1417"/>
      <c r="K97" s="1417"/>
      <c r="L97" s="1492"/>
      <c r="M97" s="1417"/>
      <c r="N97" s="1421"/>
      <c r="O97" s="1421" t="s">
        <v>22</v>
      </c>
      <c r="P97" s="1422">
        <f t="shared" ref="P97:P98" si="23">G97*I97</f>
        <v>1500000</v>
      </c>
      <c r="Q97" s="694"/>
      <c r="R97" s="694"/>
      <c r="S97" s="695"/>
      <c r="T97" s="696"/>
    </row>
    <row r="98" spans="1:20" s="1137" customFormat="1" ht="15" customHeight="1">
      <c r="A98" s="1166"/>
      <c r="B98" s="1139"/>
      <c r="C98" s="1168"/>
      <c r="D98" s="1139"/>
      <c r="E98" s="1143"/>
      <c r="F98" s="1491" t="s">
        <v>2839</v>
      </c>
      <c r="G98" s="1459">
        <v>20000</v>
      </c>
      <c r="H98" s="1417" t="s">
        <v>21</v>
      </c>
      <c r="I98" s="1469">
        <v>15</v>
      </c>
      <c r="J98" s="1417"/>
      <c r="K98" s="1417"/>
      <c r="L98" s="1492"/>
      <c r="M98" s="1417"/>
      <c r="N98" s="1421"/>
      <c r="O98" s="1421" t="s">
        <v>22</v>
      </c>
      <c r="P98" s="1422">
        <f t="shared" si="23"/>
        <v>300000</v>
      </c>
      <c r="Q98" s="694"/>
      <c r="R98" s="694"/>
      <c r="S98" s="695"/>
      <c r="T98" s="696"/>
    </row>
    <row r="99" spans="1:20" s="1137" customFormat="1" ht="15" customHeight="1">
      <c r="A99" s="1166"/>
      <c r="B99" s="1139"/>
      <c r="C99" s="1168"/>
      <c r="D99" s="1139"/>
      <c r="E99" s="1143"/>
      <c r="F99" s="1491" t="s">
        <v>2840</v>
      </c>
      <c r="G99" s="1459">
        <v>10000</v>
      </c>
      <c r="H99" s="1417" t="s">
        <v>21</v>
      </c>
      <c r="I99" s="1469">
        <v>20</v>
      </c>
      <c r="J99" s="1417"/>
      <c r="K99" s="1417"/>
      <c r="L99" s="1492"/>
      <c r="M99" s="1417"/>
      <c r="N99" s="1421"/>
      <c r="O99" s="1421" t="s">
        <v>22</v>
      </c>
      <c r="P99" s="1422">
        <f>G99*I99</f>
        <v>200000</v>
      </c>
      <c r="Q99" s="694"/>
      <c r="R99" s="694"/>
      <c r="S99" s="695"/>
      <c r="T99" s="696"/>
    </row>
    <row r="100" spans="1:20" s="1137" customFormat="1" ht="15" customHeight="1">
      <c r="A100" s="1166"/>
      <c r="B100" s="1139"/>
      <c r="C100" s="1168"/>
      <c r="D100" s="1139"/>
      <c r="E100" s="3306"/>
      <c r="F100" s="1413" t="s">
        <v>1993</v>
      </c>
      <c r="G100" s="650"/>
      <c r="H100" s="649"/>
      <c r="I100" s="649"/>
      <c r="J100" s="649"/>
      <c r="K100" s="649"/>
      <c r="L100" s="1414"/>
      <c r="M100" s="649"/>
      <c r="N100" s="651"/>
      <c r="O100" s="651"/>
      <c r="P100" s="652">
        <f>SUM(P101:P104)</f>
        <v>1850000</v>
      </c>
      <c r="Q100" s="653">
        <f>P100</f>
        <v>1850000</v>
      </c>
      <c r="R100" s="653">
        <v>0</v>
      </c>
      <c r="S100" s="654">
        <f>Q100-R100</f>
        <v>1850000</v>
      </c>
      <c r="T100" s="655"/>
    </row>
    <row r="101" spans="1:20" s="1137" customFormat="1" ht="15" customHeight="1">
      <c r="A101" s="1166"/>
      <c r="B101" s="1139"/>
      <c r="C101" s="1168"/>
      <c r="D101" s="1139"/>
      <c r="E101" s="3307"/>
      <c r="F101" s="1491" t="s">
        <v>2841</v>
      </c>
      <c r="G101" s="1459">
        <v>250000</v>
      </c>
      <c r="H101" s="1417" t="s">
        <v>21</v>
      </c>
      <c r="I101" s="1467">
        <v>1</v>
      </c>
      <c r="J101" s="1417"/>
      <c r="K101" s="1419"/>
      <c r="L101" s="1420"/>
      <c r="M101" s="1419"/>
      <c r="N101" s="1421"/>
      <c r="O101" s="1421" t="s">
        <v>22</v>
      </c>
      <c r="P101" s="1495">
        <f>G101*I101</f>
        <v>250000</v>
      </c>
      <c r="Q101" s="694"/>
      <c r="R101" s="694"/>
      <c r="S101" s="695"/>
      <c r="T101" s="696"/>
    </row>
    <row r="102" spans="1:20" s="1137" customFormat="1" ht="15" customHeight="1">
      <c r="A102" s="1166"/>
      <c r="B102" s="1139"/>
      <c r="C102" s="1168"/>
      <c r="D102" s="1139"/>
      <c r="E102" s="3307"/>
      <c r="F102" s="1491" t="s">
        <v>2842</v>
      </c>
      <c r="G102" s="1459">
        <v>200000</v>
      </c>
      <c r="H102" s="1417" t="s">
        <v>21</v>
      </c>
      <c r="I102" s="1418">
        <v>4</v>
      </c>
      <c r="J102" s="1417"/>
      <c r="K102" s="1419"/>
      <c r="L102" s="1420"/>
      <c r="M102" s="1419"/>
      <c r="N102" s="1421"/>
      <c r="O102" s="1421" t="s">
        <v>22</v>
      </c>
      <c r="P102" s="1495">
        <f>G102*I102</f>
        <v>800000</v>
      </c>
      <c r="Q102" s="694"/>
      <c r="R102" s="694"/>
      <c r="S102" s="695"/>
      <c r="T102" s="696"/>
    </row>
    <row r="103" spans="1:20" s="1137" customFormat="1" ht="15" customHeight="1">
      <c r="A103" s="1166"/>
      <c r="B103" s="1139"/>
      <c r="C103" s="1168"/>
      <c r="D103" s="1139"/>
      <c r="E103" s="3307"/>
      <c r="F103" s="1491" t="s">
        <v>2843</v>
      </c>
      <c r="G103" s="1459">
        <v>200000</v>
      </c>
      <c r="H103" s="1417" t="s">
        <v>21</v>
      </c>
      <c r="I103" s="1469">
        <v>2</v>
      </c>
      <c r="J103" s="1417"/>
      <c r="K103" s="1419"/>
      <c r="L103" s="1420"/>
      <c r="M103" s="1419"/>
      <c r="N103" s="1421"/>
      <c r="O103" s="1421" t="s">
        <v>1037</v>
      </c>
      <c r="P103" s="1495">
        <f>G103*I103</f>
        <v>400000</v>
      </c>
      <c r="Q103" s="694"/>
      <c r="R103" s="694"/>
      <c r="S103" s="695"/>
      <c r="T103" s="696"/>
    </row>
    <row r="104" spans="1:20" s="1137" customFormat="1" ht="15" customHeight="1">
      <c r="A104" s="1166"/>
      <c r="B104" s="1139"/>
      <c r="C104" s="1168"/>
      <c r="D104" s="1139"/>
      <c r="E104" s="3307"/>
      <c r="F104" s="1491" t="s">
        <v>2844</v>
      </c>
      <c r="G104" s="1459">
        <v>200000</v>
      </c>
      <c r="H104" s="1417" t="s">
        <v>21</v>
      </c>
      <c r="I104" s="1469">
        <v>2</v>
      </c>
      <c r="J104" s="1417"/>
      <c r="K104" s="1419"/>
      <c r="L104" s="1420"/>
      <c r="M104" s="1419"/>
      <c r="N104" s="1421"/>
      <c r="O104" s="1421" t="s">
        <v>1781</v>
      </c>
      <c r="P104" s="1495">
        <f>G104*I104</f>
        <v>400000</v>
      </c>
      <c r="Q104" s="694"/>
      <c r="R104" s="694"/>
      <c r="S104" s="695"/>
      <c r="T104" s="696"/>
    </row>
    <row r="105" spans="1:20" ht="14.45" customHeight="1" thickBot="1">
      <c r="A105" s="1166"/>
      <c r="B105" s="1139"/>
      <c r="C105" s="3685" t="s">
        <v>3178</v>
      </c>
      <c r="D105" s="3686"/>
      <c r="E105" s="3686"/>
      <c r="F105" s="3686"/>
      <c r="G105" s="3686"/>
      <c r="H105" s="3686"/>
      <c r="I105" s="3686"/>
      <c r="J105" s="3686"/>
      <c r="K105" s="3686"/>
      <c r="L105" s="3686"/>
      <c r="M105" s="3686"/>
      <c r="N105" s="3686"/>
      <c r="O105" s="3686"/>
      <c r="P105" s="3687"/>
      <c r="Q105" s="872">
        <f>Q106+Q110</f>
        <v>12000000</v>
      </c>
      <c r="R105" s="872">
        <f>R106+R110</f>
        <v>16000000</v>
      </c>
      <c r="S105" s="867">
        <f>Q105-R105</f>
        <v>-4000000</v>
      </c>
      <c r="T105" s="1407">
        <f t="shared" ref="T105" si="24">S105/R105</f>
        <v>-0.25</v>
      </c>
    </row>
    <row r="106" spans="1:20" ht="14.45" customHeight="1" thickBot="1">
      <c r="A106" s="778"/>
      <c r="B106" s="786"/>
      <c r="C106" s="792"/>
      <c r="D106" s="684" t="s">
        <v>183</v>
      </c>
      <c r="E106" s="2229"/>
      <c r="F106" s="1269"/>
      <c r="G106" s="636"/>
      <c r="H106" s="635"/>
      <c r="I106" s="635"/>
      <c r="J106" s="635"/>
      <c r="K106" s="635"/>
      <c r="L106" s="1268"/>
      <c r="M106" s="635"/>
      <c r="N106" s="637"/>
      <c r="O106" s="637"/>
      <c r="P106" s="635"/>
      <c r="Q106" s="638">
        <f>Q107</f>
        <v>3600000</v>
      </c>
      <c r="R106" s="638">
        <f>R107</f>
        <v>8000000</v>
      </c>
      <c r="S106" s="937">
        <f>Q106-R106</f>
        <v>-4400000</v>
      </c>
      <c r="T106" s="987">
        <f>S106/R106</f>
        <v>-0.55000000000000004</v>
      </c>
    </row>
    <row r="107" spans="1:20" s="1371" customFormat="1" ht="14.45" customHeight="1">
      <c r="A107" s="1367"/>
      <c r="B107" s="1368"/>
      <c r="C107" s="1369"/>
      <c r="D107" s="1370"/>
      <c r="E107" s="3637" t="s">
        <v>432</v>
      </c>
      <c r="F107" s="3638"/>
      <c r="G107" s="3638"/>
      <c r="H107" s="3638"/>
      <c r="I107" s="3638"/>
      <c r="J107" s="3638"/>
      <c r="K107" s="3638"/>
      <c r="L107" s="3638"/>
      <c r="M107" s="3638"/>
      <c r="N107" s="3638"/>
      <c r="O107" s="3638"/>
      <c r="P107" s="3639"/>
      <c r="Q107" s="645">
        <f>P108</f>
        <v>3600000</v>
      </c>
      <c r="R107" s="645">
        <v>8000000</v>
      </c>
      <c r="S107" s="646">
        <f>Q107-R107</f>
        <v>-4400000</v>
      </c>
      <c r="T107" s="647">
        <f t="shared" ref="T107:T108" si="25">S107/R107</f>
        <v>-0.55000000000000004</v>
      </c>
    </row>
    <row r="108" spans="1:20" s="1371" customFormat="1" ht="14.45" customHeight="1">
      <c r="A108" s="1367"/>
      <c r="B108" s="1368"/>
      <c r="C108" s="1369"/>
      <c r="D108" s="1368"/>
      <c r="E108" s="3518"/>
      <c r="F108" s="1413" t="s">
        <v>757</v>
      </c>
      <c r="G108" s="650"/>
      <c r="H108" s="649"/>
      <c r="I108" s="649"/>
      <c r="J108" s="649"/>
      <c r="K108" s="649"/>
      <c r="L108" s="1414"/>
      <c r="M108" s="649"/>
      <c r="N108" s="651"/>
      <c r="O108" s="651"/>
      <c r="P108" s="652">
        <f>SUM(P109:P109)</f>
        <v>3600000</v>
      </c>
      <c r="Q108" s="653">
        <f>P108</f>
        <v>3600000</v>
      </c>
      <c r="R108" s="653">
        <v>8000000</v>
      </c>
      <c r="S108" s="654">
        <f>Q108-R108</f>
        <v>-4400000</v>
      </c>
      <c r="T108" s="655">
        <f t="shared" si="25"/>
        <v>-0.55000000000000004</v>
      </c>
    </row>
    <row r="109" spans="1:20" s="1371" customFormat="1" ht="14.45" customHeight="1">
      <c r="A109" s="1367"/>
      <c r="B109" s="1368"/>
      <c r="C109" s="1369"/>
      <c r="D109" s="1368"/>
      <c r="E109" s="3308"/>
      <c r="F109" s="1415" t="s">
        <v>1994</v>
      </c>
      <c r="G109" s="1424">
        <v>150000</v>
      </c>
      <c r="H109" s="2554" t="s">
        <v>21</v>
      </c>
      <c r="I109" s="1418">
        <v>2</v>
      </c>
      <c r="J109" s="2554" t="s">
        <v>21</v>
      </c>
      <c r="K109" s="1419">
        <v>12</v>
      </c>
      <c r="L109" s="1420"/>
      <c r="M109" s="1419"/>
      <c r="N109" s="1421"/>
      <c r="O109" s="1421" t="s">
        <v>22</v>
      </c>
      <c r="P109" s="1422">
        <f>ROUNDUP(G109*I109*K109,-3)</f>
        <v>3600000</v>
      </c>
      <c r="Q109" s="694"/>
      <c r="R109" s="694"/>
      <c r="S109" s="695"/>
      <c r="T109" s="696"/>
    </row>
    <row r="110" spans="1:20" s="1137" customFormat="1" ht="15" customHeight="1">
      <c r="A110" s="1482"/>
      <c r="B110" s="1296"/>
      <c r="C110" s="1136"/>
      <c r="D110" s="1372" t="s">
        <v>2861</v>
      </c>
      <c r="E110" s="3296"/>
      <c r="F110" s="1373"/>
      <c r="G110" s="1146"/>
      <c r="H110" s="1145"/>
      <c r="I110" s="1145"/>
      <c r="J110" s="1145"/>
      <c r="K110" s="1145"/>
      <c r="L110" s="1374"/>
      <c r="M110" s="1145"/>
      <c r="N110" s="1147"/>
      <c r="O110" s="1147"/>
      <c r="P110" s="1375"/>
      <c r="Q110" s="1148">
        <f>Q111</f>
        <v>8400000</v>
      </c>
      <c r="R110" s="1148">
        <f>R111</f>
        <v>8000000</v>
      </c>
      <c r="S110" s="1149">
        <f>Q110-R110</f>
        <v>400000</v>
      </c>
      <c r="T110" s="1376">
        <f>S110/R110</f>
        <v>0.05</v>
      </c>
    </row>
    <row r="111" spans="1:20" ht="14.45" customHeight="1">
      <c r="A111" s="778"/>
      <c r="B111" s="786"/>
      <c r="C111" s="792"/>
      <c r="D111" s="786"/>
      <c r="E111" s="3763" t="s">
        <v>2862</v>
      </c>
      <c r="F111" s="3764"/>
      <c r="G111" s="3764"/>
      <c r="H111" s="3764"/>
      <c r="I111" s="3764"/>
      <c r="J111" s="3764"/>
      <c r="K111" s="3764"/>
      <c r="L111" s="3764"/>
      <c r="M111" s="3764"/>
      <c r="N111" s="3764"/>
      <c r="O111" s="3764"/>
      <c r="P111" s="3765"/>
      <c r="Q111" s="1049">
        <f>P112</f>
        <v>8400000</v>
      </c>
      <c r="R111" s="1049">
        <v>8000000</v>
      </c>
      <c r="S111" s="1050">
        <f>Q111-R111</f>
        <v>400000</v>
      </c>
      <c r="T111" s="1051">
        <f t="shared" ref="T111:T112" si="26">S111/R111</f>
        <v>0.05</v>
      </c>
    </row>
    <row r="112" spans="1:20" ht="14.45" customHeight="1">
      <c r="A112" s="778"/>
      <c r="B112" s="786"/>
      <c r="C112" s="792"/>
      <c r="D112" s="786"/>
      <c r="F112" s="1377" t="s">
        <v>2031</v>
      </c>
      <c r="G112" s="1036"/>
      <c r="H112" s="1035"/>
      <c r="I112" s="1035"/>
      <c r="J112" s="1035"/>
      <c r="K112" s="1035" t="s">
        <v>2981</v>
      </c>
      <c r="L112" s="1378"/>
      <c r="M112" s="1035"/>
      <c r="N112" s="1037"/>
      <c r="O112" s="1037"/>
      <c r="P112" s="1134">
        <f>SUM(P113:P113)</f>
        <v>8400000</v>
      </c>
      <c r="Q112" s="653">
        <f>P112</f>
        <v>8400000</v>
      </c>
      <c r="R112" s="1039">
        <v>8000000</v>
      </c>
      <c r="S112" s="654">
        <f>Q112-R112</f>
        <v>400000</v>
      </c>
      <c r="T112" s="655">
        <f t="shared" si="26"/>
        <v>0.05</v>
      </c>
    </row>
    <row r="113" spans="1:20" ht="14.45" customHeight="1">
      <c r="A113" s="778"/>
      <c r="B113" s="786"/>
      <c r="C113" s="792"/>
      <c r="D113" s="786"/>
      <c r="E113" s="3281"/>
      <c r="F113" s="1384" t="s">
        <v>1995</v>
      </c>
      <c r="G113" s="1406">
        <v>840000</v>
      </c>
      <c r="H113" s="1385" t="s">
        <v>51</v>
      </c>
      <c r="I113" s="921">
        <v>10</v>
      </c>
      <c r="J113" s="1385"/>
      <c r="K113" s="1385"/>
      <c r="L113" s="1386"/>
      <c r="M113" s="1385"/>
      <c r="N113" s="1387"/>
      <c r="O113" s="1387" t="s">
        <v>122</v>
      </c>
      <c r="P113" s="1385">
        <f>ROUNDUP(G113*I113,-3)</f>
        <v>8400000</v>
      </c>
      <c r="Q113" s="866"/>
      <c r="R113" s="866"/>
      <c r="S113" s="924"/>
      <c r="T113" s="1388"/>
    </row>
    <row r="114" spans="1:20" ht="14.45" customHeight="1" thickBot="1">
      <c r="A114" s="778"/>
      <c r="B114" s="786"/>
      <c r="C114" s="3685" t="s">
        <v>259</v>
      </c>
      <c r="D114" s="3686"/>
      <c r="E114" s="3686"/>
      <c r="F114" s="3686"/>
      <c r="G114" s="3686"/>
      <c r="H114" s="3686"/>
      <c r="I114" s="3686"/>
      <c r="J114" s="3686"/>
      <c r="K114" s="3686"/>
      <c r="L114" s="3686"/>
      <c r="M114" s="3686"/>
      <c r="N114" s="3686"/>
      <c r="O114" s="3686"/>
      <c r="P114" s="3687"/>
      <c r="Q114" s="872">
        <f>Q115</f>
        <v>14000</v>
      </c>
      <c r="R114" s="872">
        <f>R115</f>
        <v>14000</v>
      </c>
      <c r="S114" s="867">
        <f>Q114-R114</f>
        <v>0</v>
      </c>
      <c r="T114" s="1407">
        <f t="shared" ref="T114" si="27">S114/R114</f>
        <v>0</v>
      </c>
    </row>
    <row r="115" spans="1:20" ht="14.45" customHeight="1" thickBot="1">
      <c r="A115" s="778"/>
      <c r="B115" s="786"/>
      <c r="C115" s="844"/>
      <c r="D115" s="635" t="s">
        <v>223</v>
      </c>
      <c r="E115" s="2229"/>
      <c r="F115" s="1269"/>
      <c r="G115" s="636"/>
      <c r="H115" s="635"/>
      <c r="I115" s="635"/>
      <c r="J115" s="635"/>
      <c r="K115" s="635"/>
      <c r="L115" s="1268"/>
      <c r="M115" s="635"/>
      <c r="N115" s="637"/>
      <c r="O115" s="637"/>
      <c r="P115" s="635"/>
      <c r="Q115" s="638">
        <f>Q116</f>
        <v>14000</v>
      </c>
      <c r="R115" s="638">
        <f>R116</f>
        <v>14000</v>
      </c>
      <c r="S115" s="937">
        <f>Q115-R115</f>
        <v>0</v>
      </c>
      <c r="T115" s="987">
        <f>S115/R115</f>
        <v>0</v>
      </c>
    </row>
    <row r="116" spans="1:20" ht="14.45" customHeight="1">
      <c r="A116" s="778"/>
      <c r="B116" s="786"/>
      <c r="C116" s="786"/>
      <c r="D116" s="844"/>
      <c r="E116" s="3637" t="s">
        <v>3024</v>
      </c>
      <c r="F116" s="3638"/>
      <c r="G116" s="3638"/>
      <c r="H116" s="3638"/>
      <c r="I116" s="3638"/>
      <c r="J116" s="3638"/>
      <c r="K116" s="3638"/>
      <c r="L116" s="3638"/>
      <c r="M116" s="3638"/>
      <c r="N116" s="3638"/>
      <c r="O116" s="3638"/>
      <c r="P116" s="3639"/>
      <c r="Q116" s="645">
        <f>ROUNDUP(P117,-3)</f>
        <v>14000</v>
      </c>
      <c r="R116" s="645">
        <v>14000</v>
      </c>
      <c r="S116" s="646">
        <f>Q116-R116</f>
        <v>0</v>
      </c>
      <c r="T116" s="647">
        <f t="shared" ref="T116:T117" si="28">S116/R116</f>
        <v>0</v>
      </c>
    </row>
    <row r="117" spans="1:20" ht="14.45" customHeight="1">
      <c r="A117" s="778"/>
      <c r="B117" s="786"/>
      <c r="C117" s="786"/>
      <c r="D117" s="786"/>
      <c r="E117" s="1143"/>
      <c r="F117" s="1413" t="s">
        <v>1277</v>
      </c>
      <c r="G117" s="650"/>
      <c r="H117" s="649"/>
      <c r="I117" s="649"/>
      <c r="J117" s="649"/>
      <c r="K117" s="649"/>
      <c r="L117" s="1414"/>
      <c r="M117" s="649"/>
      <c r="N117" s="651"/>
      <c r="O117" s="651"/>
      <c r="P117" s="652">
        <f>SUM(P118)</f>
        <v>14000</v>
      </c>
      <c r="Q117" s="653">
        <f>P117</f>
        <v>14000</v>
      </c>
      <c r="R117" s="653">
        <v>14000</v>
      </c>
      <c r="S117" s="654">
        <f>Q117-R117</f>
        <v>0</v>
      </c>
      <c r="T117" s="655">
        <f t="shared" si="28"/>
        <v>0</v>
      </c>
    </row>
    <row r="118" spans="1:20" ht="14.45" customHeight="1" thickBot="1">
      <c r="A118" s="898"/>
      <c r="B118" s="899"/>
      <c r="C118" s="899"/>
      <c r="D118" s="899"/>
      <c r="E118" s="3309"/>
      <c r="F118" s="1496" t="s">
        <v>20</v>
      </c>
      <c r="G118" s="1497">
        <v>14000</v>
      </c>
      <c r="H118" s="1498" t="s">
        <v>21</v>
      </c>
      <c r="I118" s="1499">
        <v>1</v>
      </c>
      <c r="J118" s="1498"/>
      <c r="K118" s="1500"/>
      <c r="L118" s="1498"/>
      <c r="M118" s="1498"/>
      <c r="N118" s="1501"/>
      <c r="O118" s="1501" t="s">
        <v>22</v>
      </c>
      <c r="P118" s="1502">
        <f>ROUNDUP(G118*I118,-3)</f>
        <v>14000</v>
      </c>
      <c r="Q118" s="909"/>
      <c r="R118" s="909"/>
      <c r="S118" s="910"/>
      <c r="T118" s="911"/>
    </row>
    <row r="119" spans="1:20" ht="15" customHeight="1">
      <c r="R119" s="842"/>
    </row>
    <row r="120" spans="1:20" ht="15" customHeight="1"/>
    <row r="121" spans="1:20" ht="15" customHeight="1"/>
    <row r="122" spans="1:20" ht="15" customHeight="1"/>
    <row r="123" spans="1:20" ht="15" customHeight="1"/>
  </sheetData>
  <mergeCells count="38">
    <mergeCell ref="E33:P33"/>
    <mergeCell ref="E36:P36"/>
    <mergeCell ref="E9:P9"/>
    <mergeCell ref="E14:P14"/>
    <mergeCell ref="E19:P19"/>
    <mergeCell ref="E22:P22"/>
    <mergeCell ref="E26:P26"/>
    <mergeCell ref="A1:T1"/>
    <mergeCell ref="S2:T2"/>
    <mergeCell ref="A3:E3"/>
    <mergeCell ref="G3:P4"/>
    <mergeCell ref="Q3:Q4"/>
    <mergeCell ref="R3:R4"/>
    <mergeCell ref="S3:S4"/>
    <mergeCell ref="T3:T4"/>
    <mergeCell ref="E72:P72"/>
    <mergeCell ref="E39:P39"/>
    <mergeCell ref="E43:P43"/>
    <mergeCell ref="E46:P46"/>
    <mergeCell ref="E49:P49"/>
    <mergeCell ref="E54:P54"/>
    <mergeCell ref="K41:L41"/>
    <mergeCell ref="E107:P107"/>
    <mergeCell ref="E111:P111"/>
    <mergeCell ref="E116:P116"/>
    <mergeCell ref="C7:P7"/>
    <mergeCell ref="C76:P76"/>
    <mergeCell ref="C105:P105"/>
    <mergeCell ref="C114:P114"/>
    <mergeCell ref="E75:P75"/>
    <mergeCell ref="E78:P78"/>
    <mergeCell ref="E80:P80"/>
    <mergeCell ref="E92:P92"/>
    <mergeCell ref="E95:P95"/>
    <mergeCell ref="E61:P61"/>
    <mergeCell ref="E65:P65"/>
    <mergeCell ref="E68:P68"/>
    <mergeCell ref="E69:P69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landscape" r:id="rId1"/>
  <headerFooter scaleWithDoc="0">
    <oddFooter>&amp;C&amp;P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0070C0"/>
    <pageSetUpPr fitToPage="1"/>
  </sheetPr>
  <dimension ref="A1:Y119"/>
  <sheetViews>
    <sheetView view="pageBreakPreview" zoomScaleNormal="100" zoomScaleSheetLayoutView="100" workbookViewId="0">
      <pane ySplit="8" topLeftCell="A63" activePane="bottomLeft" state="frozen"/>
      <selection activeCell="O40" sqref="O39:O40"/>
      <selection pane="bottomLeft" activeCell="G84" sqref="G84"/>
    </sheetView>
  </sheetViews>
  <sheetFormatPr defaultColWidth="9" defaultRowHeight="16.5"/>
  <cols>
    <col min="1" max="1" width="3.625" style="128" customWidth="1"/>
    <col min="2" max="4" width="3.625" style="839" customWidth="1"/>
    <col min="5" max="5" width="10.625" style="897" customWidth="1"/>
    <col min="6" max="6" width="29.125" style="1256" customWidth="1"/>
    <col min="7" max="7" width="13.25" style="840" bestFit="1" customWidth="1"/>
    <col min="8" max="8" width="2.125" style="128" customWidth="1"/>
    <col min="9" max="9" width="6.5" style="128" customWidth="1"/>
    <col min="10" max="10" width="2.125" style="128" customWidth="1"/>
    <col min="11" max="11" width="6.375" style="128" customWidth="1"/>
    <col min="12" max="12" width="2.625" style="1257" customWidth="1"/>
    <col min="13" max="13" width="5.375" style="128" customWidth="1"/>
    <col min="14" max="14" width="2.75" style="841" customWidth="1"/>
    <col min="15" max="15" width="2.625" style="841" customWidth="1"/>
    <col min="16" max="16" width="13.625" style="128" customWidth="1"/>
    <col min="17" max="17" width="10.625" style="842" customWidth="1"/>
    <col min="18" max="18" width="10.625" style="843" customWidth="1"/>
    <col min="19" max="19" width="10.625" style="1174" customWidth="1"/>
    <col min="20" max="20" width="10.625" style="1175" customWidth="1"/>
    <col min="21" max="21" width="10.25" style="128" bestFit="1" customWidth="1"/>
    <col min="22" max="22" width="10.75" style="128" bestFit="1" customWidth="1"/>
    <col min="23" max="23" width="14.5" style="128" bestFit="1" customWidth="1"/>
    <col min="24" max="24" width="16.125" style="128" customWidth="1"/>
    <col min="25" max="25" width="13.25" style="128" bestFit="1" customWidth="1"/>
    <col min="26" max="16384" width="9" style="128"/>
  </cols>
  <sheetData>
    <row r="1" spans="1:24" ht="35.1" customHeight="1">
      <c r="A1" s="3679" t="s">
        <v>2101</v>
      </c>
      <c r="B1" s="3679"/>
      <c r="C1" s="3679"/>
      <c r="D1" s="3679"/>
      <c r="E1" s="3679"/>
      <c r="F1" s="3679"/>
      <c r="G1" s="3679"/>
      <c r="H1" s="3679"/>
      <c r="I1" s="3679"/>
      <c r="J1" s="3679"/>
      <c r="K1" s="3679"/>
      <c r="L1" s="3679"/>
      <c r="M1" s="3679"/>
      <c r="N1" s="3679"/>
      <c r="O1" s="3679"/>
      <c r="P1" s="3679"/>
      <c r="Q1" s="3679"/>
      <c r="R1" s="3679"/>
      <c r="S1" s="3679"/>
      <c r="T1" s="3785"/>
    </row>
    <row r="2" spans="1:24" ht="15" customHeight="1" thickBot="1">
      <c r="A2" s="128" t="s">
        <v>226</v>
      </c>
      <c r="E2" s="792"/>
      <c r="S2" s="3680" t="s">
        <v>227</v>
      </c>
      <c r="T2" s="3680"/>
    </row>
    <row r="3" spans="1:24" s="841" customFormat="1" ht="14.1" customHeight="1">
      <c r="A3" s="3743" t="s">
        <v>2</v>
      </c>
      <c r="B3" s="3644"/>
      <c r="C3" s="3644"/>
      <c r="D3" s="3644"/>
      <c r="E3" s="3644"/>
      <c r="F3" s="1258"/>
      <c r="G3" s="3695" t="s">
        <v>546</v>
      </c>
      <c r="H3" s="3695"/>
      <c r="I3" s="3695"/>
      <c r="J3" s="3695"/>
      <c r="K3" s="3695"/>
      <c r="L3" s="3695"/>
      <c r="M3" s="3695"/>
      <c r="N3" s="3695"/>
      <c r="O3" s="3695"/>
      <c r="P3" s="3696"/>
      <c r="Q3" s="3699" t="s">
        <v>4</v>
      </c>
      <c r="R3" s="3701" t="s">
        <v>326</v>
      </c>
      <c r="S3" s="3703" t="s">
        <v>5</v>
      </c>
      <c r="T3" s="3705" t="s">
        <v>6</v>
      </c>
    </row>
    <row r="4" spans="1:24" s="841" customFormat="1" ht="14.1" customHeight="1" thickBot="1">
      <c r="A4" s="502" t="s">
        <v>7</v>
      </c>
      <c r="B4" s="503" t="s">
        <v>8</v>
      </c>
      <c r="C4" s="503" t="s">
        <v>9</v>
      </c>
      <c r="D4" s="503" t="s">
        <v>10</v>
      </c>
      <c r="E4" s="503" t="s">
        <v>11</v>
      </c>
      <c r="F4" s="1259" t="s">
        <v>12</v>
      </c>
      <c r="G4" s="3697"/>
      <c r="H4" s="3697"/>
      <c r="I4" s="3697"/>
      <c r="J4" s="3697"/>
      <c r="K4" s="3697"/>
      <c r="L4" s="3697"/>
      <c r="M4" s="3697"/>
      <c r="N4" s="3697"/>
      <c r="O4" s="3697"/>
      <c r="P4" s="3698"/>
      <c r="Q4" s="3700"/>
      <c r="R4" s="3702"/>
      <c r="S4" s="3704"/>
      <c r="T4" s="3706"/>
    </row>
    <row r="5" spans="1:24" ht="14.1" customHeight="1" thickBot="1">
      <c r="A5" s="1260" t="s">
        <v>531</v>
      </c>
      <c r="B5" s="1261"/>
      <c r="C5" s="1261"/>
      <c r="D5" s="1261"/>
      <c r="E5" s="1261"/>
      <c r="F5" s="1262"/>
      <c r="G5" s="612"/>
      <c r="H5" s="611"/>
      <c r="I5" s="611"/>
      <c r="J5" s="611"/>
      <c r="K5" s="611"/>
      <c r="L5" s="1263"/>
      <c r="M5" s="611"/>
      <c r="N5" s="613"/>
      <c r="O5" s="613"/>
      <c r="P5" s="611"/>
      <c r="Q5" s="614">
        <f>Q6</f>
        <v>91355000</v>
      </c>
      <c r="R5" s="614">
        <f>R6</f>
        <v>69780000</v>
      </c>
      <c r="S5" s="937">
        <f t="shared" ref="S5:S10" si="0">Q5-R5</f>
        <v>21575000</v>
      </c>
      <c r="T5" s="616">
        <f t="shared" ref="T5:T9" si="1">S5/R5</f>
        <v>0.30918601318429351</v>
      </c>
      <c r="V5" s="128">
        <v>91355000</v>
      </c>
      <c r="W5" s="128">
        <v>69780000</v>
      </c>
    </row>
    <row r="6" spans="1:24" ht="14.1" customHeight="1">
      <c r="A6" s="778"/>
      <c r="B6" s="779" t="s">
        <v>547</v>
      </c>
      <c r="C6" s="780"/>
      <c r="D6" s="780"/>
      <c r="E6" s="780"/>
      <c r="F6" s="1264"/>
      <c r="G6" s="864"/>
      <c r="H6" s="863"/>
      <c r="I6" s="863"/>
      <c r="J6" s="863"/>
      <c r="K6" s="863"/>
      <c r="L6" s="1265"/>
      <c r="M6" s="863"/>
      <c r="N6" s="865"/>
      <c r="O6" s="865"/>
      <c r="P6" s="863"/>
      <c r="Q6" s="866">
        <f>Q7+Q67+Q92+Q103</f>
        <v>91355000</v>
      </c>
      <c r="R6" s="866">
        <f>R7+R67+R92+R103</f>
        <v>69780000</v>
      </c>
      <c r="S6" s="924">
        <f t="shared" si="0"/>
        <v>21575000</v>
      </c>
      <c r="T6" s="925">
        <f t="shared" si="1"/>
        <v>0.30918601318429351</v>
      </c>
      <c r="V6" s="1120">
        <f>Q5-V5</f>
        <v>0</v>
      </c>
      <c r="W6" s="1120">
        <f>R5-W5</f>
        <v>0</v>
      </c>
    </row>
    <row r="7" spans="1:24" ht="14.1" customHeight="1" thickBot="1">
      <c r="A7" s="778"/>
      <c r="B7" s="844"/>
      <c r="C7" s="3685" t="s">
        <v>289</v>
      </c>
      <c r="D7" s="3686"/>
      <c r="E7" s="3686"/>
      <c r="F7" s="3686"/>
      <c r="G7" s="3686"/>
      <c r="H7" s="3686"/>
      <c r="I7" s="3686"/>
      <c r="J7" s="3686"/>
      <c r="K7" s="3686"/>
      <c r="L7" s="3686"/>
      <c r="M7" s="3686"/>
      <c r="N7" s="3686"/>
      <c r="O7" s="3686"/>
      <c r="P7" s="3687"/>
      <c r="Q7" s="872">
        <f>Q8+Q22+Q63</f>
        <v>70045000</v>
      </c>
      <c r="R7" s="872">
        <f>R8+R22+R63</f>
        <v>56870000</v>
      </c>
      <c r="S7" s="924">
        <f t="shared" si="0"/>
        <v>13175000</v>
      </c>
      <c r="T7" s="925">
        <f t="shared" si="1"/>
        <v>0.23166871812906628</v>
      </c>
    </row>
    <row r="8" spans="1:24" ht="14.1" customHeight="1" thickBot="1">
      <c r="A8" s="778"/>
      <c r="B8" s="786"/>
      <c r="C8" s="792"/>
      <c r="D8" s="1268" t="s">
        <v>548</v>
      </c>
      <c r="E8" s="2229"/>
      <c r="F8" s="1269"/>
      <c r="G8" s="636"/>
      <c r="H8" s="635"/>
      <c r="I8" s="635"/>
      <c r="J8" s="635"/>
      <c r="K8" s="635"/>
      <c r="L8" s="1268"/>
      <c r="M8" s="635"/>
      <c r="N8" s="637"/>
      <c r="O8" s="637"/>
      <c r="P8" s="635"/>
      <c r="Q8" s="638">
        <f>SUM(Q9,Q14,Q19)</f>
        <v>46765000</v>
      </c>
      <c r="R8" s="638">
        <f>SUM(R9,R14,R19)</f>
        <v>37200000</v>
      </c>
      <c r="S8" s="937">
        <f t="shared" si="0"/>
        <v>9565000</v>
      </c>
      <c r="T8" s="616">
        <f t="shared" si="1"/>
        <v>0.25712365591397851</v>
      </c>
    </row>
    <row r="9" spans="1:24" ht="14.1" customHeight="1">
      <c r="A9" s="778"/>
      <c r="B9" s="786"/>
      <c r="C9" s="792"/>
      <c r="D9" s="786"/>
      <c r="E9" s="3637" t="s">
        <v>184</v>
      </c>
      <c r="F9" s="3638"/>
      <c r="G9" s="3638"/>
      <c r="H9" s="3638"/>
      <c r="I9" s="3638"/>
      <c r="J9" s="3638"/>
      <c r="K9" s="3638"/>
      <c r="L9" s="3638"/>
      <c r="M9" s="3638"/>
      <c r="N9" s="3638"/>
      <c r="O9" s="3638"/>
      <c r="P9" s="3639"/>
      <c r="Q9" s="645">
        <f>P10</f>
        <v>39060000</v>
      </c>
      <c r="R9" s="645">
        <v>37200000</v>
      </c>
      <c r="S9" s="646">
        <f t="shared" si="0"/>
        <v>1860000</v>
      </c>
      <c r="T9" s="647">
        <f t="shared" si="1"/>
        <v>0.05</v>
      </c>
      <c r="V9" s="128" t="s">
        <v>1996</v>
      </c>
      <c r="W9" s="1120">
        <f>SUM(W10:W13)</f>
        <v>88545000</v>
      </c>
      <c r="X9" s="1120">
        <f>SUM(X10:X13)</f>
        <v>67370000</v>
      </c>
    </row>
    <row r="10" spans="1:24" ht="14.1" customHeight="1">
      <c r="A10" s="778"/>
      <c r="B10" s="786"/>
      <c r="C10" s="792"/>
      <c r="D10" s="786"/>
      <c r="F10" s="1270" t="s">
        <v>38</v>
      </c>
      <c r="G10" s="1271"/>
      <c r="H10" s="1272"/>
      <c r="I10" s="1272"/>
      <c r="J10" s="1272"/>
      <c r="K10" s="1272"/>
      <c r="L10" s="1273"/>
      <c r="M10" s="1272"/>
      <c r="N10" s="1274"/>
      <c r="O10" s="1274"/>
      <c r="P10" s="1275">
        <f>SUM(P11:P13)</f>
        <v>39060000</v>
      </c>
      <c r="Q10" s="653">
        <f>P10</f>
        <v>39060000</v>
      </c>
      <c r="R10" s="653">
        <v>37200000</v>
      </c>
      <c r="S10" s="654">
        <f t="shared" si="0"/>
        <v>1860000</v>
      </c>
      <c r="T10" s="655">
        <f t="shared" ref="T10" si="2">S10/R10</f>
        <v>0.05</v>
      </c>
      <c r="V10" s="128" t="s">
        <v>1980</v>
      </c>
      <c r="W10" s="1120">
        <f>Q8</f>
        <v>46765000</v>
      </c>
      <c r="X10" s="1120">
        <f>R8</f>
        <v>37200000</v>
      </c>
    </row>
    <row r="11" spans="1:24" ht="14.1" customHeight="1">
      <c r="A11" s="778"/>
      <c r="B11" s="786"/>
      <c r="C11" s="792"/>
      <c r="D11" s="786"/>
      <c r="E11" s="3282"/>
      <c r="F11" s="1277" t="s">
        <v>2004</v>
      </c>
      <c r="G11" s="1278">
        <v>1260000</v>
      </c>
      <c r="H11" s="1279" t="s">
        <v>21</v>
      </c>
      <c r="I11" s="1280">
        <v>1</v>
      </c>
      <c r="J11" s="1279" t="s">
        <v>21</v>
      </c>
      <c r="K11" s="1281">
        <v>12</v>
      </c>
      <c r="L11" s="1282"/>
      <c r="M11" s="1281"/>
      <c r="N11" s="1283"/>
      <c r="O11" s="1283" t="s">
        <v>22</v>
      </c>
      <c r="P11" s="1284">
        <f>G11*I11*K11</f>
        <v>15120000</v>
      </c>
      <c r="Q11" s="694"/>
      <c r="R11" s="694"/>
      <c r="S11" s="695"/>
      <c r="T11" s="696"/>
      <c r="V11" s="128" t="s">
        <v>2032</v>
      </c>
      <c r="W11" s="1120">
        <f>Q22</f>
        <v>22080000</v>
      </c>
      <c r="X11" s="1120">
        <f>R22</f>
        <v>19670000</v>
      </c>
    </row>
    <row r="12" spans="1:24" ht="14.1" customHeight="1">
      <c r="A12" s="778"/>
      <c r="B12" s="786"/>
      <c r="C12" s="792"/>
      <c r="D12" s="786"/>
      <c r="E12" s="3282"/>
      <c r="F12" s="1277" t="s">
        <v>2005</v>
      </c>
      <c r="G12" s="1278">
        <v>1260000</v>
      </c>
      <c r="H12" s="1279" t="s">
        <v>21</v>
      </c>
      <c r="I12" s="1280">
        <v>1</v>
      </c>
      <c r="J12" s="1279" t="s">
        <v>21</v>
      </c>
      <c r="K12" s="1281">
        <v>12</v>
      </c>
      <c r="L12" s="1282"/>
      <c r="M12" s="1281"/>
      <c r="N12" s="1283"/>
      <c r="O12" s="1283" t="s">
        <v>22</v>
      </c>
      <c r="P12" s="1284">
        <f>G12*I12*K12</f>
        <v>15120000</v>
      </c>
      <c r="Q12" s="694"/>
      <c r="R12" s="694"/>
      <c r="S12" s="695"/>
      <c r="T12" s="696"/>
      <c r="V12" s="128" t="s">
        <v>2037</v>
      </c>
      <c r="W12" s="1120">
        <f>Q63</f>
        <v>1200000</v>
      </c>
      <c r="X12" s="1120">
        <f>R63</f>
        <v>0</v>
      </c>
    </row>
    <row r="13" spans="1:24" ht="14.1" customHeight="1">
      <c r="A13" s="778"/>
      <c r="B13" s="786"/>
      <c r="C13" s="792"/>
      <c r="D13" s="786"/>
      <c r="E13" s="3283"/>
      <c r="F13" s="1285" t="s">
        <v>2006</v>
      </c>
      <c r="G13" s="1278">
        <v>735000</v>
      </c>
      <c r="H13" s="1279" t="s">
        <v>21</v>
      </c>
      <c r="I13" s="1280">
        <v>1</v>
      </c>
      <c r="J13" s="1279" t="s">
        <v>21</v>
      </c>
      <c r="K13" s="1281">
        <v>12</v>
      </c>
      <c r="L13" s="1282"/>
      <c r="M13" s="1281"/>
      <c r="N13" s="1283"/>
      <c r="O13" s="1283" t="s">
        <v>22</v>
      </c>
      <c r="P13" s="1284">
        <f>G13*I13*K13</f>
        <v>8820000</v>
      </c>
      <c r="Q13" s="694"/>
      <c r="R13" s="694"/>
      <c r="S13" s="695"/>
      <c r="T13" s="696"/>
      <c r="V13" s="128" t="s">
        <v>2033</v>
      </c>
      <c r="W13" s="1120">
        <f>Q67</f>
        <v>18500000</v>
      </c>
      <c r="X13" s="1120">
        <f>R67</f>
        <v>10500000</v>
      </c>
    </row>
    <row r="14" spans="1:24" s="1137" customFormat="1" ht="15" customHeight="1">
      <c r="A14" s="1166"/>
      <c r="B14" s="1139"/>
      <c r="C14" s="1168"/>
      <c r="D14" s="1139"/>
      <c r="E14" s="3637" t="s">
        <v>39</v>
      </c>
      <c r="F14" s="3638"/>
      <c r="G14" s="3638"/>
      <c r="H14" s="3638"/>
      <c r="I14" s="3638"/>
      <c r="J14" s="3638"/>
      <c r="K14" s="3638"/>
      <c r="L14" s="3638"/>
      <c r="M14" s="3638"/>
      <c r="N14" s="3638"/>
      <c r="O14" s="3638"/>
      <c r="P14" s="3639"/>
      <c r="Q14" s="1154">
        <f>P15+P17</f>
        <v>4320000</v>
      </c>
      <c r="R14" s="1154">
        <v>0</v>
      </c>
      <c r="S14" s="1155">
        <f>Q14-R14</f>
        <v>4320000</v>
      </c>
      <c r="T14" s="1288"/>
      <c r="V14" s="1137" t="s">
        <v>2034</v>
      </c>
      <c r="W14" s="1120">
        <f>SUM(W15:W18)</f>
        <v>2800000</v>
      </c>
      <c r="X14" s="1120">
        <f>SUM(X15:X18)</f>
        <v>2400000</v>
      </c>
    </row>
    <row r="15" spans="1:24" s="1137" customFormat="1" ht="15" customHeight="1">
      <c r="A15" s="1166"/>
      <c r="B15" s="1139"/>
      <c r="C15" s="1168"/>
      <c r="D15" s="1139"/>
      <c r="E15" s="3285"/>
      <c r="F15" s="1270" t="s">
        <v>2007</v>
      </c>
      <c r="G15" s="1271"/>
      <c r="H15" s="1272"/>
      <c r="I15" s="1272"/>
      <c r="J15" s="1272"/>
      <c r="K15" s="1272"/>
      <c r="L15" s="1273"/>
      <c r="M15" s="1272"/>
      <c r="N15" s="1274"/>
      <c r="O15" s="1274"/>
      <c r="P15" s="1275">
        <f>SUM(P16:P16)</f>
        <v>3600000</v>
      </c>
      <c r="Q15" s="653">
        <f>P15</f>
        <v>3600000</v>
      </c>
      <c r="R15" s="653">
        <v>0</v>
      </c>
      <c r="S15" s="654">
        <f>Q15-R15</f>
        <v>3600000</v>
      </c>
      <c r="T15" s="655"/>
      <c r="V15" s="1137" t="s">
        <v>1980</v>
      </c>
    </row>
    <row r="16" spans="1:24" s="1137" customFormat="1" ht="15" customHeight="1">
      <c r="A16" s="1166"/>
      <c r="B16" s="1139"/>
      <c r="C16" s="1168"/>
      <c r="D16" s="1139"/>
      <c r="E16" s="3286"/>
      <c r="F16" s="1277" t="s">
        <v>42</v>
      </c>
      <c r="G16" s="1278">
        <v>100000</v>
      </c>
      <c r="H16" s="1279" t="s">
        <v>21</v>
      </c>
      <c r="I16" s="1280">
        <v>3</v>
      </c>
      <c r="J16" s="1279" t="s">
        <v>21</v>
      </c>
      <c r="K16" s="1281">
        <v>12</v>
      </c>
      <c r="L16" s="1282"/>
      <c r="M16" s="1281"/>
      <c r="N16" s="1283"/>
      <c r="O16" s="1283" t="s">
        <v>22</v>
      </c>
      <c r="P16" s="1284">
        <f>ROUNDUP(G16*I16*K16,-3)</f>
        <v>3600000</v>
      </c>
      <c r="Q16" s="1289"/>
      <c r="R16" s="1289"/>
      <c r="S16" s="1290"/>
      <c r="T16" s="1291"/>
      <c r="V16" s="1137" t="s">
        <v>2035</v>
      </c>
      <c r="W16" s="1292">
        <f>Q93</f>
        <v>16000</v>
      </c>
      <c r="X16" s="1292">
        <f>R93</f>
        <v>1320000</v>
      </c>
    </row>
    <row r="17" spans="1:25" s="1137" customFormat="1" ht="15" customHeight="1">
      <c r="A17" s="1166"/>
      <c r="B17" s="1139"/>
      <c r="C17" s="1168"/>
      <c r="D17" s="1139"/>
      <c r="E17" s="3286"/>
      <c r="F17" s="1270" t="s">
        <v>43</v>
      </c>
      <c r="G17" s="1271"/>
      <c r="H17" s="1272"/>
      <c r="I17" s="1272"/>
      <c r="J17" s="1272"/>
      <c r="K17" s="1272"/>
      <c r="L17" s="1273"/>
      <c r="M17" s="1272"/>
      <c r="N17" s="1274"/>
      <c r="O17" s="1274"/>
      <c r="P17" s="1293">
        <f>SUM(P18:P18)</f>
        <v>720000</v>
      </c>
      <c r="Q17" s="653">
        <f>P17</f>
        <v>720000</v>
      </c>
      <c r="R17" s="653">
        <v>0</v>
      </c>
      <c r="S17" s="654">
        <f>Q17-R17</f>
        <v>720000</v>
      </c>
      <c r="T17" s="655"/>
      <c r="V17" s="1137" t="s">
        <v>2036</v>
      </c>
      <c r="W17" s="1292">
        <f>Q98</f>
        <v>2784000</v>
      </c>
      <c r="X17" s="1292">
        <f>R98</f>
        <v>1080000</v>
      </c>
    </row>
    <row r="18" spans="1:25" s="1137" customFormat="1" ht="15" customHeight="1">
      <c r="A18" s="1166"/>
      <c r="B18" s="1139"/>
      <c r="C18" s="1168"/>
      <c r="D18" s="1139"/>
      <c r="E18" s="3286"/>
      <c r="F18" s="1277" t="s">
        <v>44</v>
      </c>
      <c r="G18" s="1294">
        <v>30000</v>
      </c>
      <c r="H18" s="1279" t="s">
        <v>21</v>
      </c>
      <c r="I18" s="1280">
        <v>2</v>
      </c>
      <c r="J18" s="1279" t="s">
        <v>21</v>
      </c>
      <c r="K18" s="1281">
        <v>12</v>
      </c>
      <c r="L18" s="1282"/>
      <c r="M18" s="1281"/>
      <c r="N18" s="1283"/>
      <c r="O18" s="1283" t="s">
        <v>22</v>
      </c>
      <c r="P18" s="1295">
        <f>ROUNDUP(G18*I18*K18,-3)</f>
        <v>720000</v>
      </c>
      <c r="Q18" s="694"/>
      <c r="R18" s="694"/>
      <c r="S18" s="695"/>
      <c r="T18" s="696"/>
    </row>
    <row r="19" spans="1:25" s="1137" customFormat="1" ht="15" customHeight="1">
      <c r="A19" s="1166"/>
      <c r="B19" s="1139"/>
      <c r="C19" s="1168"/>
      <c r="D19" s="1139"/>
      <c r="E19" s="3637" t="s">
        <v>3037</v>
      </c>
      <c r="F19" s="3638"/>
      <c r="G19" s="3638"/>
      <c r="H19" s="3638"/>
      <c r="I19" s="3638"/>
      <c r="J19" s="3638"/>
      <c r="K19" s="3638"/>
      <c r="L19" s="3638"/>
      <c r="M19" s="3638"/>
      <c r="N19" s="3638"/>
      <c r="O19" s="3638"/>
      <c r="P19" s="3639"/>
      <c r="Q19" s="1154">
        <f>P20</f>
        <v>3385000</v>
      </c>
      <c r="R19" s="1154">
        <v>0</v>
      </c>
      <c r="S19" s="1155">
        <f>Q19-R19</f>
        <v>3385000</v>
      </c>
      <c r="T19" s="1288"/>
      <c r="V19" s="1137" t="s">
        <v>2003</v>
      </c>
      <c r="W19" s="1292">
        <f>Q103</f>
        <v>10000</v>
      </c>
      <c r="X19" s="1292">
        <f>R103</f>
        <v>10000</v>
      </c>
    </row>
    <row r="20" spans="1:25" s="1137" customFormat="1" ht="15" customHeight="1">
      <c r="A20" s="1166"/>
      <c r="B20" s="1139"/>
      <c r="C20" s="1168"/>
      <c r="D20" s="1139"/>
      <c r="E20" s="3285"/>
      <c r="F20" s="1270" t="s">
        <v>52</v>
      </c>
      <c r="G20" s="1271"/>
      <c r="H20" s="1272"/>
      <c r="I20" s="1272"/>
      <c r="J20" s="1272"/>
      <c r="K20" s="1272"/>
      <c r="L20" s="1273"/>
      <c r="M20" s="1272"/>
      <c r="N20" s="1274"/>
      <c r="O20" s="1274"/>
      <c r="P20" s="1275">
        <f>SUM(P21:P21)</f>
        <v>3385000</v>
      </c>
      <c r="Q20" s="653">
        <f>P20</f>
        <v>3385000</v>
      </c>
      <c r="R20" s="653">
        <v>0</v>
      </c>
      <c r="S20" s="654">
        <f>Q20-R20</f>
        <v>3385000</v>
      </c>
      <c r="T20" s="655"/>
    </row>
    <row r="21" spans="1:25" s="1137" customFormat="1" ht="15" customHeight="1">
      <c r="A21" s="1166"/>
      <c r="B21" s="1139"/>
      <c r="C21" s="1168"/>
      <c r="D21" s="1296"/>
      <c r="E21" s="3287"/>
      <c r="F21" s="1297" t="s">
        <v>53</v>
      </c>
      <c r="G21" s="1298">
        <v>40615000</v>
      </c>
      <c r="H21" s="1299" t="s">
        <v>21</v>
      </c>
      <c r="I21" s="1300" t="s">
        <v>2008</v>
      </c>
      <c r="J21" s="1299"/>
      <c r="K21" s="1301"/>
      <c r="L21" s="1302"/>
      <c r="M21" s="1301"/>
      <c r="N21" s="1303"/>
      <c r="O21" s="1303" t="s">
        <v>22</v>
      </c>
      <c r="P21" s="1304">
        <f>ROUNDUP(G21*1/12,-3)</f>
        <v>3385000</v>
      </c>
      <c r="Q21" s="712"/>
      <c r="R21" s="712"/>
      <c r="S21" s="713"/>
      <c r="T21" s="714"/>
      <c r="W21" s="1292">
        <f>W9+W14+W19</f>
        <v>91355000</v>
      </c>
      <c r="X21" s="1292">
        <f>X9+X14+X19</f>
        <v>69780000</v>
      </c>
    </row>
    <row r="22" spans="1:25" ht="14.1" customHeight="1" thickBot="1">
      <c r="A22" s="778"/>
      <c r="B22" s="786"/>
      <c r="C22" s="792"/>
      <c r="D22" s="716" t="s">
        <v>315</v>
      </c>
      <c r="E22" s="3288"/>
      <c r="F22" s="1305"/>
      <c r="G22" s="717"/>
      <c r="H22" s="716"/>
      <c r="I22" s="716"/>
      <c r="J22" s="716"/>
      <c r="K22" s="716"/>
      <c r="L22" s="1306"/>
      <c r="M22" s="716"/>
      <c r="N22" s="718"/>
      <c r="O22" s="718"/>
      <c r="P22" s="716"/>
      <c r="Q22" s="685">
        <f>Q23+Q30+Q33+Q36+Q39+Q45+Q49+Q53+Q56+Q60</f>
        <v>22080000</v>
      </c>
      <c r="R22" s="685">
        <f>R23+R30+R33+R36+R39+R45+R49+R53+R56+R60</f>
        <v>19670000</v>
      </c>
      <c r="S22" s="1307">
        <f>Q22-R22</f>
        <v>2410000</v>
      </c>
      <c r="T22" s="1308">
        <f t="shared" ref="T22:T24" si="3">S22/R22</f>
        <v>0.12252160650737164</v>
      </c>
      <c r="X22" s="1309"/>
    </row>
    <row r="23" spans="1:25" ht="14.1" customHeight="1">
      <c r="A23" s="778"/>
      <c r="B23" s="786"/>
      <c r="C23" s="792"/>
      <c r="D23" s="786"/>
      <c r="E23" s="3637" t="s">
        <v>55</v>
      </c>
      <c r="F23" s="3638"/>
      <c r="G23" s="3638"/>
      <c r="H23" s="3638"/>
      <c r="I23" s="3638"/>
      <c r="J23" s="3638"/>
      <c r="K23" s="3638"/>
      <c r="L23" s="3638"/>
      <c r="M23" s="3638"/>
      <c r="N23" s="3638"/>
      <c r="O23" s="3638"/>
      <c r="P23" s="3639"/>
      <c r="Q23" s="645">
        <f>P24</f>
        <v>4048000</v>
      </c>
      <c r="R23" s="645">
        <v>2376000</v>
      </c>
      <c r="S23" s="646">
        <f>Q23-R23</f>
        <v>1672000</v>
      </c>
      <c r="T23" s="647">
        <f t="shared" si="3"/>
        <v>0.70370370370370372</v>
      </c>
      <c r="V23" s="1310"/>
      <c r="X23" s="1309"/>
    </row>
    <row r="24" spans="1:25" ht="14.1" customHeight="1">
      <c r="A24" s="778"/>
      <c r="B24" s="786"/>
      <c r="C24" s="792"/>
      <c r="D24" s="786"/>
      <c r="F24" s="1270" t="s">
        <v>56</v>
      </c>
      <c r="G24" s="1271"/>
      <c r="H24" s="1272"/>
      <c r="I24" s="1272"/>
      <c r="J24" s="1272"/>
      <c r="K24" s="1272"/>
      <c r="L24" s="1273"/>
      <c r="M24" s="1272"/>
      <c r="N24" s="1274"/>
      <c r="O24" s="1274"/>
      <c r="P24" s="1275">
        <f>SUM(P25:P29)</f>
        <v>4048000</v>
      </c>
      <c r="Q24" s="653">
        <f>P24</f>
        <v>4048000</v>
      </c>
      <c r="R24" s="653">
        <v>2376000</v>
      </c>
      <c r="S24" s="654">
        <f>Q24-R24</f>
        <v>1672000</v>
      </c>
      <c r="T24" s="655">
        <f t="shared" si="3"/>
        <v>0.70370370370370372</v>
      </c>
      <c r="W24" s="1310"/>
    </row>
    <row r="25" spans="1:25" ht="14.1" customHeight="1">
      <c r="A25" s="778"/>
      <c r="B25" s="786"/>
      <c r="C25" s="792"/>
      <c r="D25" s="786"/>
      <c r="F25" s="1277" t="s">
        <v>57</v>
      </c>
      <c r="G25" s="1294">
        <v>40615000</v>
      </c>
      <c r="H25" s="1279" t="s">
        <v>21</v>
      </c>
      <c r="I25" s="1311">
        <v>4.4999999999999998E-2</v>
      </c>
      <c r="J25" s="1279"/>
      <c r="K25" s="1281"/>
      <c r="L25" s="1282"/>
      <c r="M25" s="1281"/>
      <c r="N25" s="1283"/>
      <c r="O25" s="1283" t="s">
        <v>22</v>
      </c>
      <c r="P25" s="1284">
        <f>ROUNDUP(G25*I25,-3)</f>
        <v>1828000</v>
      </c>
      <c r="Q25" s="694"/>
      <c r="R25" s="694"/>
      <c r="S25" s="695"/>
      <c r="T25" s="696"/>
      <c r="V25" s="1312"/>
    </row>
    <row r="26" spans="1:25" ht="14.1" customHeight="1">
      <c r="A26" s="778"/>
      <c r="B26" s="786"/>
      <c r="C26" s="792"/>
      <c r="D26" s="786"/>
      <c r="F26" s="1285" t="s">
        <v>58</v>
      </c>
      <c r="G26" s="1294">
        <f>G25</f>
        <v>40615000</v>
      </c>
      <c r="H26" s="1279" t="s">
        <v>21</v>
      </c>
      <c r="I26" s="1311">
        <v>3.1199999999999999E-2</v>
      </c>
      <c r="J26" s="1279"/>
      <c r="K26" s="1281"/>
      <c r="L26" s="1282"/>
      <c r="M26" s="1281"/>
      <c r="N26" s="1283"/>
      <c r="O26" s="1283" t="s">
        <v>22</v>
      </c>
      <c r="P26" s="1284">
        <f>ROUNDUP(G26*I26,-3)</f>
        <v>1268000</v>
      </c>
      <c r="Q26" s="694"/>
      <c r="R26" s="694"/>
      <c r="S26" s="695"/>
      <c r="T26" s="696"/>
      <c r="W26" s="1120">
        <f>Q9+Q14</f>
        <v>43380000</v>
      </c>
    </row>
    <row r="27" spans="1:25" ht="14.1" customHeight="1">
      <c r="A27" s="778"/>
      <c r="B27" s="786"/>
      <c r="C27" s="792"/>
      <c r="D27" s="786"/>
      <c r="F27" s="1285" t="s">
        <v>59</v>
      </c>
      <c r="G27" s="1294">
        <f>P26</f>
        <v>1268000</v>
      </c>
      <c r="H27" s="1279" t="s">
        <v>21</v>
      </c>
      <c r="I27" s="1311">
        <v>7.3800000000000004E-2</v>
      </c>
      <c r="J27" s="1279"/>
      <c r="K27" s="1281"/>
      <c r="L27" s="1282"/>
      <c r="M27" s="1281"/>
      <c r="N27" s="1283"/>
      <c r="O27" s="1283" t="s">
        <v>22</v>
      </c>
      <c r="P27" s="1284">
        <f>ROUNDUP(G27*I27,-3)</f>
        <v>94000</v>
      </c>
      <c r="Q27" s="694"/>
      <c r="R27" s="694"/>
      <c r="S27" s="695"/>
      <c r="T27" s="696"/>
      <c r="V27" s="1120"/>
    </row>
    <row r="28" spans="1:25" ht="14.1" customHeight="1">
      <c r="A28" s="778"/>
      <c r="B28" s="786"/>
      <c r="C28" s="792"/>
      <c r="D28" s="786"/>
      <c r="F28" s="1285" t="s">
        <v>60</v>
      </c>
      <c r="G28" s="1294">
        <f>G26</f>
        <v>40615000</v>
      </c>
      <c r="H28" s="1279" t="s">
        <v>21</v>
      </c>
      <c r="I28" s="1311">
        <v>8.9999999999999993E-3</v>
      </c>
      <c r="J28" s="1279"/>
      <c r="K28" s="1281"/>
      <c r="L28" s="1282"/>
      <c r="M28" s="1281"/>
      <c r="N28" s="1283"/>
      <c r="O28" s="1283" t="s">
        <v>22</v>
      </c>
      <c r="P28" s="1284">
        <f>ROUNDUP(G28*I28,-3)</f>
        <v>366000</v>
      </c>
      <c r="Q28" s="694"/>
      <c r="R28" s="694"/>
      <c r="S28" s="695"/>
      <c r="T28" s="696"/>
    </row>
    <row r="29" spans="1:25" ht="14.1" customHeight="1">
      <c r="A29" s="778"/>
      <c r="B29" s="786"/>
      <c r="C29" s="792"/>
      <c r="D29" s="786"/>
      <c r="E29" s="3282"/>
      <c r="F29" s="1285" t="s">
        <v>61</v>
      </c>
      <c r="G29" s="1294">
        <f>G28</f>
        <v>40615000</v>
      </c>
      <c r="H29" s="1279" t="s">
        <v>21</v>
      </c>
      <c r="I29" s="1311">
        <v>1.21E-2</v>
      </c>
      <c r="J29" s="1279"/>
      <c r="K29" s="1281"/>
      <c r="L29" s="1282"/>
      <c r="M29" s="1281"/>
      <c r="N29" s="1283"/>
      <c r="O29" s="1283" t="s">
        <v>22</v>
      </c>
      <c r="P29" s="1284">
        <f>ROUNDUP(G29*I29,-3)</f>
        <v>492000</v>
      </c>
      <c r="Q29" s="694"/>
      <c r="R29" s="694"/>
      <c r="S29" s="695"/>
      <c r="T29" s="696"/>
    </row>
    <row r="30" spans="1:25" ht="14.1" customHeight="1">
      <c r="A30" s="778"/>
      <c r="B30" s="786"/>
      <c r="C30" s="792"/>
      <c r="D30" s="786"/>
      <c r="E30" s="3637" t="s">
        <v>3054</v>
      </c>
      <c r="F30" s="3638"/>
      <c r="G30" s="3638"/>
      <c r="H30" s="3638"/>
      <c r="I30" s="3638"/>
      <c r="J30" s="3638"/>
      <c r="K30" s="3638"/>
      <c r="L30" s="3638"/>
      <c r="M30" s="3638"/>
      <c r="N30" s="3638"/>
      <c r="O30" s="3638"/>
      <c r="P30" s="3639"/>
      <c r="Q30" s="645">
        <f>P31</f>
        <v>576000</v>
      </c>
      <c r="R30" s="645">
        <v>540000</v>
      </c>
      <c r="S30" s="646">
        <f>Q30-R30</f>
        <v>36000</v>
      </c>
      <c r="T30" s="647">
        <f t="shared" ref="T30:T31" si="4">S30/R30</f>
        <v>6.6666666666666666E-2</v>
      </c>
    </row>
    <row r="31" spans="1:25" ht="14.1" customHeight="1">
      <c r="A31" s="778"/>
      <c r="B31" s="786"/>
      <c r="C31" s="792"/>
      <c r="D31" s="786"/>
      <c r="F31" s="1270" t="s">
        <v>71</v>
      </c>
      <c r="G31" s="1271"/>
      <c r="H31" s="1272"/>
      <c r="I31" s="1272"/>
      <c r="J31" s="1272"/>
      <c r="K31" s="1272"/>
      <c r="L31" s="1273"/>
      <c r="M31" s="1272"/>
      <c r="N31" s="1274"/>
      <c r="O31" s="1274"/>
      <c r="P31" s="1275">
        <f>SUM(P32:P32)</f>
        <v>576000</v>
      </c>
      <c r="Q31" s="653">
        <f>P31</f>
        <v>576000</v>
      </c>
      <c r="R31" s="653">
        <v>540000</v>
      </c>
      <c r="S31" s="654">
        <f>Q31-R31</f>
        <v>36000</v>
      </c>
      <c r="T31" s="655">
        <f t="shared" si="4"/>
        <v>6.6666666666666666E-2</v>
      </c>
    </row>
    <row r="32" spans="1:25" ht="14.1" customHeight="1">
      <c r="A32" s="778"/>
      <c r="B32" s="786"/>
      <c r="C32" s="792"/>
      <c r="D32" s="786"/>
      <c r="E32" s="3282"/>
      <c r="F32" s="1277" t="s">
        <v>72</v>
      </c>
      <c r="G32" s="1294">
        <v>48000</v>
      </c>
      <c r="H32" s="1279" t="s">
        <v>21</v>
      </c>
      <c r="I32" s="1281">
        <v>12</v>
      </c>
      <c r="J32" s="1279"/>
      <c r="K32" s="1281"/>
      <c r="L32" s="1282"/>
      <c r="M32" s="1281"/>
      <c r="N32" s="1283"/>
      <c r="O32" s="1283" t="s">
        <v>22</v>
      </c>
      <c r="P32" s="1284">
        <f>ROUNDUP(G32*I32,-3)</f>
        <v>576000</v>
      </c>
      <c r="Q32" s="694"/>
      <c r="R32" s="694"/>
      <c r="S32" s="695"/>
      <c r="T32" s="696"/>
      <c r="Y32" s="1309"/>
    </row>
    <row r="33" spans="1:25" ht="14.1" customHeight="1">
      <c r="A33" s="778"/>
      <c r="B33" s="786"/>
      <c r="C33" s="792"/>
      <c r="D33" s="786"/>
      <c r="E33" s="3637" t="s">
        <v>3161</v>
      </c>
      <c r="F33" s="3638"/>
      <c r="G33" s="3638"/>
      <c r="H33" s="3638"/>
      <c r="I33" s="3638"/>
      <c r="J33" s="3638"/>
      <c r="K33" s="3638"/>
      <c r="L33" s="3638"/>
      <c r="M33" s="3638"/>
      <c r="N33" s="3638"/>
      <c r="O33" s="3638"/>
      <c r="P33" s="3639"/>
      <c r="Q33" s="645">
        <f>P34</f>
        <v>3840000</v>
      </c>
      <c r="R33" s="645">
        <v>3600000</v>
      </c>
      <c r="S33" s="646">
        <f>Q33-R33</f>
        <v>240000</v>
      </c>
      <c r="T33" s="647">
        <f t="shared" ref="T33:T34" si="5">S33/R33</f>
        <v>6.6666666666666666E-2</v>
      </c>
      <c r="Y33" s="1309"/>
    </row>
    <row r="34" spans="1:25" ht="14.1" customHeight="1">
      <c r="A34" s="778"/>
      <c r="B34" s="786"/>
      <c r="C34" s="792"/>
      <c r="D34" s="786"/>
      <c r="F34" s="1270" t="s">
        <v>75</v>
      </c>
      <c r="G34" s="1271"/>
      <c r="H34" s="1272"/>
      <c r="I34" s="1272"/>
      <c r="J34" s="1272"/>
      <c r="K34" s="1272"/>
      <c r="L34" s="1273"/>
      <c r="M34" s="1272"/>
      <c r="N34" s="1274"/>
      <c r="O34" s="1274"/>
      <c r="P34" s="1275">
        <f>SUM(P35:P35)</f>
        <v>3840000</v>
      </c>
      <c r="Q34" s="653">
        <f>P34</f>
        <v>3840000</v>
      </c>
      <c r="R34" s="653">
        <v>3600000</v>
      </c>
      <c r="S34" s="654">
        <f>Q34-R34</f>
        <v>240000</v>
      </c>
      <c r="T34" s="655">
        <f t="shared" si="5"/>
        <v>6.6666666666666666E-2</v>
      </c>
      <c r="W34" s="1310"/>
      <c r="Y34" s="1309"/>
    </row>
    <row r="35" spans="1:25" ht="14.1" customHeight="1">
      <c r="A35" s="778"/>
      <c r="B35" s="786"/>
      <c r="C35" s="792"/>
      <c r="D35" s="786"/>
      <c r="E35" s="3282"/>
      <c r="F35" s="1277" t="s">
        <v>739</v>
      </c>
      <c r="G35" s="1294">
        <v>320000</v>
      </c>
      <c r="H35" s="1279" t="s">
        <v>21</v>
      </c>
      <c r="I35" s="1281">
        <v>12</v>
      </c>
      <c r="J35" s="1279"/>
      <c r="K35" s="3808"/>
      <c r="L35" s="3808"/>
      <c r="M35" s="1281"/>
      <c r="N35" s="1283"/>
      <c r="O35" s="1283" t="s">
        <v>22</v>
      </c>
      <c r="P35" s="1284">
        <f>G35*I35</f>
        <v>3840000</v>
      </c>
      <c r="Q35" s="694"/>
      <c r="R35" s="694"/>
      <c r="S35" s="695"/>
      <c r="T35" s="696"/>
      <c r="W35" s="1310"/>
      <c r="Y35" s="1309"/>
    </row>
    <row r="36" spans="1:25" ht="14.1" customHeight="1">
      <c r="A36" s="778"/>
      <c r="B36" s="786"/>
      <c r="C36" s="792"/>
      <c r="D36" s="786"/>
      <c r="E36" s="3637" t="s">
        <v>76</v>
      </c>
      <c r="F36" s="3638"/>
      <c r="G36" s="3638"/>
      <c r="H36" s="3638"/>
      <c r="I36" s="3638"/>
      <c r="J36" s="3638"/>
      <c r="K36" s="3638"/>
      <c r="L36" s="3638"/>
      <c r="M36" s="3638"/>
      <c r="N36" s="3638"/>
      <c r="O36" s="3638"/>
      <c r="P36" s="3639"/>
      <c r="Q36" s="645">
        <f>P37</f>
        <v>500000</v>
      </c>
      <c r="R36" s="645">
        <v>600000</v>
      </c>
      <c r="S36" s="646">
        <f>Q36-R36</f>
        <v>-100000</v>
      </c>
      <c r="T36" s="647">
        <f t="shared" ref="T36:T37" si="6">S36/R36</f>
        <v>-0.16666666666666666</v>
      </c>
      <c r="W36" s="1310"/>
      <c r="Y36" s="1309"/>
    </row>
    <row r="37" spans="1:25" ht="14.1" customHeight="1">
      <c r="A37" s="778"/>
      <c r="B37" s="786"/>
      <c r="C37" s="792"/>
      <c r="D37" s="786"/>
      <c r="F37" s="1270" t="s">
        <v>77</v>
      </c>
      <c r="G37" s="1271"/>
      <c r="H37" s="1272"/>
      <c r="I37" s="1272"/>
      <c r="J37" s="1272"/>
      <c r="K37" s="1272"/>
      <c r="L37" s="1273"/>
      <c r="M37" s="1272"/>
      <c r="N37" s="1274"/>
      <c r="O37" s="1274"/>
      <c r="P37" s="1275">
        <f>SUM(P38:P38)</f>
        <v>500000</v>
      </c>
      <c r="Q37" s="653">
        <f>P37</f>
        <v>500000</v>
      </c>
      <c r="R37" s="653">
        <v>600000</v>
      </c>
      <c r="S37" s="654">
        <f>Q37-R37</f>
        <v>-100000</v>
      </c>
      <c r="T37" s="655">
        <f t="shared" si="6"/>
        <v>-0.16666666666666666</v>
      </c>
    </row>
    <row r="38" spans="1:25" ht="14.1" customHeight="1">
      <c r="A38" s="1130"/>
      <c r="B38" s="846"/>
      <c r="C38" s="780"/>
      <c r="D38" s="846"/>
      <c r="E38" s="3317"/>
      <c r="F38" s="1297" t="s">
        <v>465</v>
      </c>
      <c r="G38" s="1298">
        <v>50000</v>
      </c>
      <c r="H38" s="1299" t="s">
        <v>21</v>
      </c>
      <c r="I38" s="1331">
        <v>10</v>
      </c>
      <c r="J38" s="1299"/>
      <c r="K38" s="1301"/>
      <c r="L38" s="1302"/>
      <c r="M38" s="1301"/>
      <c r="N38" s="1303"/>
      <c r="O38" s="1303" t="s">
        <v>22</v>
      </c>
      <c r="P38" s="1304">
        <f>ROUNDUP(G38*I38,-3)</f>
        <v>500000</v>
      </c>
      <c r="Q38" s="712"/>
      <c r="R38" s="712"/>
      <c r="S38" s="713"/>
      <c r="T38" s="714"/>
    </row>
    <row r="39" spans="1:25" ht="14.1" customHeight="1">
      <c r="A39" s="778"/>
      <c r="B39" s="786"/>
      <c r="C39" s="792"/>
      <c r="D39" s="786"/>
      <c r="E39" s="3763" t="s">
        <v>3165</v>
      </c>
      <c r="F39" s="3764"/>
      <c r="G39" s="3764"/>
      <c r="H39" s="3764"/>
      <c r="I39" s="3764"/>
      <c r="J39" s="3764"/>
      <c r="K39" s="3764"/>
      <c r="L39" s="3764"/>
      <c r="M39" s="3764"/>
      <c r="N39" s="3764"/>
      <c r="O39" s="3764"/>
      <c r="P39" s="3765"/>
      <c r="Q39" s="1049">
        <f>P40</f>
        <v>8268000</v>
      </c>
      <c r="R39" s="1049">
        <v>8273000</v>
      </c>
      <c r="S39" s="1050">
        <f>Q39-R39</f>
        <v>-5000</v>
      </c>
      <c r="T39" s="1051">
        <f t="shared" ref="T39:T40" si="7">S39/R39</f>
        <v>-6.0437567992263988E-4</v>
      </c>
    </row>
    <row r="40" spans="1:25" ht="14.1" customHeight="1">
      <c r="A40" s="778"/>
      <c r="B40" s="786"/>
      <c r="C40" s="792"/>
      <c r="D40" s="786"/>
      <c r="F40" s="1270" t="s">
        <v>93</v>
      </c>
      <c r="G40" s="1271"/>
      <c r="H40" s="1272"/>
      <c r="I40" s="1272"/>
      <c r="J40" s="1272"/>
      <c r="K40" s="1272"/>
      <c r="L40" s="1273"/>
      <c r="M40" s="1272"/>
      <c r="N40" s="1274"/>
      <c r="O40" s="1274"/>
      <c r="P40" s="1275">
        <f>SUM(P41:P44)</f>
        <v>8268000</v>
      </c>
      <c r="Q40" s="653">
        <f>P40</f>
        <v>8268000</v>
      </c>
      <c r="R40" s="653">
        <v>8273000</v>
      </c>
      <c r="S40" s="654">
        <f>Q40-R40</f>
        <v>-5000</v>
      </c>
      <c r="T40" s="655">
        <f t="shared" si="7"/>
        <v>-6.0437567992263988E-4</v>
      </c>
    </row>
    <row r="41" spans="1:25" ht="14.1" customHeight="1">
      <c r="A41" s="778"/>
      <c r="B41" s="786"/>
      <c r="C41" s="792"/>
      <c r="D41" s="786"/>
      <c r="E41" s="3282"/>
      <c r="F41" s="1277" t="s">
        <v>2009</v>
      </c>
      <c r="G41" s="1294">
        <v>6500000</v>
      </c>
      <c r="H41" s="1279" t="s">
        <v>21</v>
      </c>
      <c r="I41" s="1313">
        <v>1</v>
      </c>
      <c r="J41" s="1279"/>
      <c r="K41" s="1281"/>
      <c r="L41" s="1282"/>
      <c r="M41" s="1281"/>
      <c r="N41" s="1283"/>
      <c r="O41" s="1283" t="s">
        <v>22</v>
      </c>
      <c r="P41" s="1284">
        <f>ROUNDUP(G41*I41,-3)</f>
        <v>6500000</v>
      </c>
      <c r="Q41" s="694"/>
      <c r="R41" s="694"/>
      <c r="S41" s="695"/>
      <c r="T41" s="696"/>
    </row>
    <row r="42" spans="1:25" ht="14.1" customHeight="1">
      <c r="A42" s="778"/>
      <c r="B42" s="786"/>
      <c r="C42" s="792"/>
      <c r="D42" s="786"/>
      <c r="E42" s="3289"/>
      <c r="F42" s="1277" t="s">
        <v>467</v>
      </c>
      <c r="G42" s="1294">
        <v>55000</v>
      </c>
      <c r="H42" s="1279" t="s">
        <v>21</v>
      </c>
      <c r="I42" s="1281">
        <v>12</v>
      </c>
      <c r="J42" s="1279"/>
      <c r="K42" s="1281"/>
      <c r="L42" s="1282"/>
      <c r="M42" s="1281"/>
      <c r="N42" s="1283"/>
      <c r="O42" s="1283" t="s">
        <v>22</v>
      </c>
      <c r="P42" s="1284">
        <f>ROUNDUP(G42*I42,-3)</f>
        <v>660000</v>
      </c>
      <c r="Q42" s="694"/>
      <c r="R42" s="694"/>
      <c r="S42" s="695"/>
      <c r="T42" s="696"/>
    </row>
    <row r="43" spans="1:25" ht="14.1" customHeight="1">
      <c r="A43" s="778"/>
      <c r="B43" s="786"/>
      <c r="C43" s="792"/>
      <c r="D43" s="786"/>
      <c r="E43" s="3289"/>
      <c r="F43" s="1285" t="s">
        <v>2010</v>
      </c>
      <c r="G43" s="1314">
        <v>54810</v>
      </c>
      <c r="H43" s="1279" t="s">
        <v>21</v>
      </c>
      <c r="I43" s="1281">
        <v>12</v>
      </c>
      <c r="J43" s="1279"/>
      <c r="K43" s="1281"/>
      <c r="L43" s="1282"/>
      <c r="M43" s="1281"/>
      <c r="N43" s="1283"/>
      <c r="O43" s="1283" t="s">
        <v>22</v>
      </c>
      <c r="P43" s="1284">
        <f>ROUNDUP(G43*I43,-3)</f>
        <v>658000</v>
      </c>
      <c r="Q43" s="694"/>
      <c r="R43" s="694"/>
      <c r="S43" s="695"/>
      <c r="T43" s="696"/>
      <c r="W43" s="128">
        <v>600000</v>
      </c>
    </row>
    <row r="44" spans="1:25" ht="14.1" customHeight="1">
      <c r="A44" s="778"/>
      <c r="B44" s="786"/>
      <c r="C44" s="792"/>
      <c r="D44" s="786"/>
      <c r="E44" s="3290"/>
      <c r="F44" s="1315" t="s">
        <v>2011</v>
      </c>
      <c r="G44" s="1316">
        <v>112500</v>
      </c>
      <c r="H44" s="1299" t="s">
        <v>21</v>
      </c>
      <c r="I44" s="1301">
        <v>4</v>
      </c>
      <c r="J44" s="1299"/>
      <c r="K44" s="1301"/>
      <c r="L44" s="1302"/>
      <c r="M44" s="1301"/>
      <c r="N44" s="1303"/>
      <c r="O44" s="1303" t="s">
        <v>22</v>
      </c>
      <c r="P44" s="1304">
        <f>G44*I44</f>
        <v>450000</v>
      </c>
      <c r="Q44" s="712"/>
      <c r="R44" s="712"/>
      <c r="S44" s="713"/>
      <c r="T44" s="696"/>
    </row>
    <row r="45" spans="1:25" ht="14.1" customHeight="1">
      <c r="A45" s="778"/>
      <c r="B45" s="786"/>
      <c r="C45" s="792"/>
      <c r="D45" s="786"/>
      <c r="E45" s="3637" t="s">
        <v>194</v>
      </c>
      <c r="F45" s="3638"/>
      <c r="G45" s="3638"/>
      <c r="H45" s="3638"/>
      <c r="I45" s="3638"/>
      <c r="J45" s="3638"/>
      <c r="K45" s="3638"/>
      <c r="L45" s="3638"/>
      <c r="M45" s="3638"/>
      <c r="N45" s="3638"/>
      <c r="O45" s="3638"/>
      <c r="P45" s="3639"/>
      <c r="Q45" s="1049">
        <f>P46</f>
        <v>1023000</v>
      </c>
      <c r="R45" s="1049">
        <v>2477000</v>
      </c>
      <c r="S45" s="1050">
        <f>Q45-R45</f>
        <v>-1454000</v>
      </c>
      <c r="T45" s="647">
        <f t="shared" ref="T45:T46" si="8">S45/R45</f>
        <v>-0.58700040371417039</v>
      </c>
    </row>
    <row r="46" spans="1:25" ht="14.1" customHeight="1">
      <c r="A46" s="778"/>
      <c r="B46" s="786"/>
      <c r="C46" s="792"/>
      <c r="D46" s="786"/>
      <c r="F46" s="1270" t="s">
        <v>94</v>
      </c>
      <c r="G46" s="1271"/>
      <c r="H46" s="1272"/>
      <c r="I46" s="1272"/>
      <c r="J46" s="1272"/>
      <c r="K46" s="1272"/>
      <c r="L46" s="1273"/>
      <c r="M46" s="1272"/>
      <c r="N46" s="1274"/>
      <c r="O46" s="1274"/>
      <c r="P46" s="1275">
        <f>SUM(P47:P48)</f>
        <v>1023000</v>
      </c>
      <c r="Q46" s="653">
        <f>P46</f>
        <v>1023000</v>
      </c>
      <c r="R46" s="653">
        <v>2477000</v>
      </c>
      <c r="S46" s="654">
        <f>Q46-R46</f>
        <v>-1454000</v>
      </c>
      <c r="T46" s="655">
        <f t="shared" si="8"/>
        <v>-0.58700040371417039</v>
      </c>
    </row>
    <row r="47" spans="1:25" ht="14.1" customHeight="1">
      <c r="A47" s="778"/>
      <c r="B47" s="786"/>
      <c r="C47" s="792"/>
      <c r="D47" s="786"/>
      <c r="E47" s="3282"/>
      <c r="F47" s="1277" t="s">
        <v>2012</v>
      </c>
      <c r="G47" s="1294">
        <v>423000</v>
      </c>
      <c r="H47" s="1279" t="s">
        <v>21</v>
      </c>
      <c r="I47" s="1313">
        <v>1</v>
      </c>
      <c r="J47" s="1279"/>
      <c r="K47" s="1281"/>
      <c r="L47" s="1282"/>
      <c r="M47" s="1281"/>
      <c r="N47" s="1283"/>
      <c r="O47" s="1283" t="s">
        <v>22</v>
      </c>
      <c r="P47" s="1284">
        <f>ROUNDUP(G47*I47,-3)</f>
        <v>423000</v>
      </c>
      <c r="Q47" s="694"/>
      <c r="R47" s="694"/>
      <c r="S47" s="695"/>
      <c r="T47" s="696"/>
    </row>
    <row r="48" spans="1:25" ht="14.1" customHeight="1">
      <c r="A48" s="778"/>
      <c r="B48" s="786"/>
      <c r="C48" s="792"/>
      <c r="D48" s="786"/>
      <c r="E48" s="3282"/>
      <c r="F48" s="1277" t="s">
        <v>2143</v>
      </c>
      <c r="G48" s="1294">
        <v>200000</v>
      </c>
      <c r="H48" s="1279" t="s">
        <v>21</v>
      </c>
      <c r="I48" s="1313">
        <v>3</v>
      </c>
      <c r="J48" s="1279"/>
      <c r="K48" s="1281"/>
      <c r="L48" s="1282"/>
      <c r="M48" s="1281"/>
      <c r="N48" s="1283"/>
      <c r="O48" s="1283" t="s">
        <v>22</v>
      </c>
      <c r="P48" s="1284">
        <f>ROUNDUP(G48*I48,-3)</f>
        <v>600000</v>
      </c>
      <c r="Q48" s="694"/>
      <c r="R48" s="694"/>
      <c r="S48" s="695"/>
      <c r="T48" s="696"/>
    </row>
    <row r="49" spans="1:20" ht="14.1" customHeight="1">
      <c r="A49" s="778"/>
      <c r="B49" s="786"/>
      <c r="C49" s="792"/>
      <c r="D49" s="786"/>
      <c r="E49" s="3637" t="s">
        <v>197</v>
      </c>
      <c r="F49" s="3638"/>
      <c r="G49" s="3638"/>
      <c r="H49" s="3638"/>
      <c r="I49" s="3638"/>
      <c r="J49" s="3638"/>
      <c r="K49" s="3638"/>
      <c r="L49" s="3638"/>
      <c r="M49" s="3638"/>
      <c r="N49" s="3638"/>
      <c r="O49" s="3638"/>
      <c r="P49" s="3639"/>
      <c r="Q49" s="645">
        <f>P50</f>
        <v>615000</v>
      </c>
      <c r="R49" s="645">
        <v>610000</v>
      </c>
      <c r="S49" s="646">
        <f>Q49-R49</f>
        <v>5000</v>
      </c>
      <c r="T49" s="647">
        <f t="shared" ref="T49:T50" si="9">S49/R49</f>
        <v>8.1967213114754103E-3</v>
      </c>
    </row>
    <row r="50" spans="1:20" ht="14.1" customHeight="1">
      <c r="A50" s="778"/>
      <c r="B50" s="786"/>
      <c r="C50" s="792"/>
      <c r="D50" s="786"/>
      <c r="E50" s="724"/>
      <c r="F50" s="1317" t="s">
        <v>97</v>
      </c>
      <c r="G50" s="1318"/>
      <c r="H50" s="1319"/>
      <c r="I50" s="1319"/>
      <c r="J50" s="1319"/>
      <c r="K50" s="1319"/>
      <c r="L50" s="1320"/>
      <c r="M50" s="1319"/>
      <c r="N50" s="1321"/>
      <c r="O50" s="1321"/>
      <c r="P50" s="1322">
        <f>SUM(P51:P52)</f>
        <v>615000</v>
      </c>
      <c r="Q50" s="653">
        <f>P50</f>
        <v>615000</v>
      </c>
      <c r="R50" s="957">
        <v>610000</v>
      </c>
      <c r="S50" s="654">
        <f>Q50-R50</f>
        <v>5000</v>
      </c>
      <c r="T50" s="655">
        <f t="shared" si="9"/>
        <v>8.1967213114754103E-3</v>
      </c>
    </row>
    <row r="51" spans="1:20" ht="14.1" customHeight="1">
      <c r="A51" s="778"/>
      <c r="B51" s="786"/>
      <c r="C51" s="792"/>
      <c r="D51" s="786"/>
      <c r="E51" s="725"/>
      <c r="F51" s="1285" t="s">
        <v>2014</v>
      </c>
      <c r="G51" s="1314">
        <v>50000</v>
      </c>
      <c r="H51" s="1279" t="s">
        <v>21</v>
      </c>
      <c r="I51" s="1313">
        <v>12</v>
      </c>
      <c r="J51" s="1279"/>
      <c r="K51" s="1281"/>
      <c r="L51" s="1282"/>
      <c r="M51" s="1281"/>
      <c r="N51" s="1283"/>
      <c r="O51" s="1283" t="s">
        <v>22</v>
      </c>
      <c r="P51" s="1284">
        <f>ROUNDUP(G51*I51,-3)</f>
        <v>600000</v>
      </c>
      <c r="Q51" s="694"/>
      <c r="R51" s="694"/>
      <c r="S51" s="695"/>
      <c r="T51" s="696"/>
    </row>
    <row r="52" spans="1:20" ht="14.1" customHeight="1">
      <c r="A52" s="778"/>
      <c r="B52" s="786"/>
      <c r="C52" s="792"/>
      <c r="D52" s="786"/>
      <c r="E52" s="3291"/>
      <c r="F52" s="1285" t="s">
        <v>2015</v>
      </c>
      <c r="G52" s="1314">
        <v>7500</v>
      </c>
      <c r="H52" s="1279" t="s">
        <v>21</v>
      </c>
      <c r="I52" s="1313">
        <v>1</v>
      </c>
      <c r="J52" s="1299" t="s">
        <v>21</v>
      </c>
      <c r="K52" s="1323">
        <v>2</v>
      </c>
      <c r="L52" s="1282"/>
      <c r="M52" s="1281"/>
      <c r="N52" s="1283"/>
      <c r="O52" s="1283" t="s">
        <v>22</v>
      </c>
      <c r="P52" s="1284">
        <f>ROUNDUP(G52*I52*K52,-3)</f>
        <v>15000</v>
      </c>
      <c r="Q52" s="694"/>
      <c r="R52" s="694"/>
      <c r="S52" s="695"/>
      <c r="T52" s="696"/>
    </row>
    <row r="53" spans="1:20" ht="14.1" customHeight="1">
      <c r="A53" s="778"/>
      <c r="B53" s="786"/>
      <c r="C53" s="1010"/>
      <c r="D53" s="786"/>
      <c r="E53" s="3637" t="s">
        <v>3057</v>
      </c>
      <c r="F53" s="3638"/>
      <c r="G53" s="3638"/>
      <c r="H53" s="3638"/>
      <c r="I53" s="3638"/>
      <c r="J53" s="3638"/>
      <c r="K53" s="3638"/>
      <c r="L53" s="3638"/>
      <c r="M53" s="3638"/>
      <c r="N53" s="3638"/>
      <c r="O53" s="3638"/>
      <c r="P53" s="3639"/>
      <c r="Q53" s="645">
        <f>P54</f>
        <v>550000</v>
      </c>
      <c r="R53" s="645">
        <v>0</v>
      </c>
      <c r="S53" s="646">
        <f>Q53-R53</f>
        <v>550000</v>
      </c>
      <c r="T53" s="647"/>
    </row>
    <row r="54" spans="1:20" ht="14.1" customHeight="1">
      <c r="A54" s="778"/>
      <c r="B54" s="786"/>
      <c r="C54" s="1010"/>
      <c r="D54" s="786"/>
      <c r="E54" s="724"/>
      <c r="F54" s="1270" t="s">
        <v>471</v>
      </c>
      <c r="G54" s="1271"/>
      <c r="H54" s="1272"/>
      <c r="I54" s="1272"/>
      <c r="J54" s="1272"/>
      <c r="K54" s="1272"/>
      <c r="L54" s="1273"/>
      <c r="M54" s="1272"/>
      <c r="N54" s="1274"/>
      <c r="O54" s="1274"/>
      <c r="P54" s="1275">
        <f>SUM(P55:P55)</f>
        <v>550000</v>
      </c>
      <c r="Q54" s="653">
        <f>P54</f>
        <v>550000</v>
      </c>
      <c r="R54" s="653">
        <v>0</v>
      </c>
      <c r="S54" s="654">
        <f>Q54-R54</f>
        <v>550000</v>
      </c>
      <c r="T54" s="655"/>
    </row>
    <row r="55" spans="1:20" ht="14.1" customHeight="1">
      <c r="A55" s="778"/>
      <c r="B55" s="786"/>
      <c r="C55" s="1010"/>
      <c r="D55" s="786"/>
      <c r="E55" s="725"/>
      <c r="F55" s="1277" t="s">
        <v>516</v>
      </c>
      <c r="G55" s="1294">
        <v>550000</v>
      </c>
      <c r="H55" s="1279" t="s">
        <v>21</v>
      </c>
      <c r="I55" s="1313">
        <v>1</v>
      </c>
      <c r="J55" s="1279"/>
      <c r="K55" s="1281"/>
      <c r="L55" s="1282"/>
      <c r="M55" s="1281"/>
      <c r="N55" s="1283"/>
      <c r="O55" s="1283" t="s">
        <v>22</v>
      </c>
      <c r="P55" s="1284">
        <f>ROUNDUP(G55*I55,-3)</f>
        <v>550000</v>
      </c>
      <c r="Q55" s="694"/>
      <c r="R55" s="694"/>
      <c r="S55" s="695"/>
      <c r="T55" s="696"/>
    </row>
    <row r="56" spans="1:20" s="495" customFormat="1" ht="14.1" customHeight="1">
      <c r="A56" s="1326"/>
      <c r="B56" s="522"/>
      <c r="C56" s="1010"/>
      <c r="D56" s="522"/>
      <c r="E56" s="3637" t="s">
        <v>253</v>
      </c>
      <c r="F56" s="3638"/>
      <c r="G56" s="3638"/>
      <c r="H56" s="3638"/>
      <c r="I56" s="3638"/>
      <c r="J56" s="3638"/>
      <c r="K56" s="3638"/>
      <c r="L56" s="3638"/>
      <c r="M56" s="3638"/>
      <c r="N56" s="3638"/>
      <c r="O56" s="3638"/>
      <c r="P56" s="3639"/>
      <c r="Q56" s="540">
        <f>P57</f>
        <v>1000000</v>
      </c>
      <c r="R56" s="645">
        <v>1194000</v>
      </c>
      <c r="S56" s="646">
        <f>Q56-R56</f>
        <v>-194000</v>
      </c>
      <c r="T56" s="647">
        <f t="shared" ref="T56:T57" si="10">S56/R56</f>
        <v>-0.1624790619765494</v>
      </c>
    </row>
    <row r="57" spans="1:20" s="495" customFormat="1" ht="14.1" customHeight="1">
      <c r="A57" s="1326"/>
      <c r="B57" s="522"/>
      <c r="C57" s="1010"/>
      <c r="D57" s="522"/>
      <c r="E57" s="3292"/>
      <c r="F57" s="1317" t="s">
        <v>2016</v>
      </c>
      <c r="G57" s="1318"/>
      <c r="H57" s="1319"/>
      <c r="I57" s="1319"/>
      <c r="J57" s="1319"/>
      <c r="K57" s="1319"/>
      <c r="L57" s="1320"/>
      <c r="M57" s="1319"/>
      <c r="N57" s="1321"/>
      <c r="O57" s="1321"/>
      <c r="P57" s="1322">
        <f>SUM(P58:P59)</f>
        <v>1000000</v>
      </c>
      <c r="Q57" s="653">
        <f>P57</f>
        <v>1000000</v>
      </c>
      <c r="R57" s="957">
        <v>1194000</v>
      </c>
      <c r="S57" s="654">
        <f>Q57-R57</f>
        <v>-194000</v>
      </c>
      <c r="T57" s="655">
        <f t="shared" si="10"/>
        <v>-0.1624790619765494</v>
      </c>
    </row>
    <row r="58" spans="1:20" s="495" customFormat="1" ht="14.1" customHeight="1">
      <c r="A58" s="1326"/>
      <c r="B58" s="522"/>
      <c r="C58" s="1010"/>
      <c r="D58" s="522"/>
      <c r="E58" s="3293"/>
      <c r="F58" s="1327" t="s">
        <v>2017</v>
      </c>
      <c r="G58" s="1294">
        <v>100000</v>
      </c>
      <c r="H58" s="1279" t="s">
        <v>21</v>
      </c>
      <c r="I58" s="1328">
        <v>4</v>
      </c>
      <c r="J58" s="1279"/>
      <c r="K58" s="1313"/>
      <c r="L58" s="1282"/>
      <c r="M58" s="1281"/>
      <c r="N58" s="1283"/>
      <c r="O58" s="1283" t="s">
        <v>22</v>
      </c>
      <c r="P58" s="1284">
        <f>G58*I58</f>
        <v>400000</v>
      </c>
      <c r="Q58" s="694"/>
      <c r="R58" s="694"/>
      <c r="S58" s="695"/>
      <c r="T58" s="696"/>
    </row>
    <row r="59" spans="1:20" s="495" customFormat="1" ht="14.1" customHeight="1">
      <c r="A59" s="1326"/>
      <c r="B59" s="522"/>
      <c r="C59" s="1010"/>
      <c r="D59" s="522"/>
      <c r="E59" s="3294"/>
      <c r="F59" s="1329" t="s">
        <v>2018</v>
      </c>
      <c r="G59" s="1298">
        <v>150000</v>
      </c>
      <c r="H59" s="1299" t="s">
        <v>21</v>
      </c>
      <c r="I59" s="1330">
        <v>4</v>
      </c>
      <c r="J59" s="1299"/>
      <c r="K59" s="1331"/>
      <c r="L59" s="1302"/>
      <c r="M59" s="1301"/>
      <c r="N59" s="1303"/>
      <c r="O59" s="1303" t="s">
        <v>22</v>
      </c>
      <c r="P59" s="1304">
        <f>G59*I59</f>
        <v>600000</v>
      </c>
      <c r="Q59" s="712"/>
      <c r="R59" s="712"/>
      <c r="S59" s="713"/>
      <c r="T59" s="714"/>
    </row>
    <row r="60" spans="1:20" s="495" customFormat="1" ht="14.1" customHeight="1">
      <c r="A60" s="1332"/>
      <c r="B60" s="522"/>
      <c r="C60" s="1010"/>
      <c r="D60" s="522"/>
      <c r="E60" s="3637" t="s">
        <v>3166</v>
      </c>
      <c r="F60" s="3638"/>
      <c r="G60" s="3638"/>
      <c r="H60" s="3638"/>
      <c r="I60" s="3638"/>
      <c r="J60" s="3638"/>
      <c r="K60" s="3638"/>
      <c r="L60" s="3638"/>
      <c r="M60" s="3638"/>
      <c r="N60" s="3638"/>
      <c r="O60" s="3638"/>
      <c r="P60" s="3639"/>
      <c r="Q60" s="540">
        <f>P61</f>
        <v>1660000</v>
      </c>
      <c r="R60" s="645">
        <v>0</v>
      </c>
      <c r="S60" s="646">
        <f>Q60-R60</f>
        <v>1660000</v>
      </c>
      <c r="T60" s="647"/>
    </row>
    <row r="61" spans="1:20" ht="14.1" customHeight="1">
      <c r="A61" s="778"/>
      <c r="B61" s="786"/>
      <c r="C61" s="792"/>
      <c r="D61" s="786"/>
      <c r="F61" s="1270" t="s">
        <v>2144</v>
      </c>
      <c r="G61" s="1271"/>
      <c r="H61" s="1272"/>
      <c r="I61" s="1272"/>
      <c r="J61" s="1272"/>
      <c r="K61" s="1272"/>
      <c r="L61" s="1273"/>
      <c r="M61" s="1272"/>
      <c r="N61" s="1274"/>
      <c r="O61" s="1274"/>
      <c r="P61" s="1275">
        <f>SUM(P62:P64)</f>
        <v>1660000</v>
      </c>
      <c r="Q61" s="653">
        <f>P61</f>
        <v>1660000</v>
      </c>
      <c r="R61" s="653">
        <v>0</v>
      </c>
      <c r="S61" s="654">
        <f>Q61-R61</f>
        <v>1660000</v>
      </c>
      <c r="T61" s="655"/>
    </row>
    <row r="62" spans="1:20" ht="14.1" customHeight="1">
      <c r="A62" s="778"/>
      <c r="B62" s="786"/>
      <c r="C62" s="792"/>
      <c r="D62" s="786"/>
      <c r="E62" s="3282"/>
      <c r="F62" s="1277" t="s">
        <v>2013</v>
      </c>
      <c r="G62" s="1294">
        <v>1660000</v>
      </c>
      <c r="H62" s="1279" t="s">
        <v>21</v>
      </c>
      <c r="I62" s="1313">
        <v>1</v>
      </c>
      <c r="J62" s="1279"/>
      <c r="K62" s="1281"/>
      <c r="L62" s="1282"/>
      <c r="M62" s="1281"/>
      <c r="N62" s="1283"/>
      <c r="O62" s="1283" t="s">
        <v>22</v>
      </c>
      <c r="P62" s="1284">
        <f>G62*I62</f>
        <v>1660000</v>
      </c>
      <c r="Q62" s="694"/>
      <c r="R62" s="694"/>
      <c r="S62" s="695"/>
      <c r="T62" s="696"/>
    </row>
    <row r="63" spans="1:20" s="1345" customFormat="1" ht="15" customHeight="1">
      <c r="A63" s="1333"/>
      <c r="B63" s="1334"/>
      <c r="C63" s="1010"/>
      <c r="D63" s="1335" t="s">
        <v>200</v>
      </c>
      <c r="E63" s="3295"/>
      <c r="F63" s="1336"/>
      <c r="G63" s="1337"/>
      <c r="H63" s="1338"/>
      <c r="I63" s="1338"/>
      <c r="J63" s="1338"/>
      <c r="K63" s="1338"/>
      <c r="L63" s="1339"/>
      <c r="M63" s="1338"/>
      <c r="N63" s="1340"/>
      <c r="O63" s="1340"/>
      <c r="P63" s="1341"/>
      <c r="Q63" s="1342">
        <f>SUM(Q64)</f>
        <v>1200000</v>
      </c>
      <c r="R63" s="1342">
        <v>0</v>
      </c>
      <c r="S63" s="1343">
        <f>Q63-R63</f>
        <v>1200000</v>
      </c>
      <c r="T63" s="1344"/>
    </row>
    <row r="64" spans="1:20" s="1137" customFormat="1" ht="15" customHeight="1">
      <c r="A64" s="1166"/>
      <c r="B64" s="1139"/>
      <c r="C64" s="1346"/>
      <c r="D64" s="1139"/>
      <c r="E64" s="3637" t="s">
        <v>201</v>
      </c>
      <c r="F64" s="3638"/>
      <c r="G64" s="3638"/>
      <c r="H64" s="3638"/>
      <c r="I64" s="3638"/>
      <c r="J64" s="3638"/>
      <c r="K64" s="3638"/>
      <c r="L64" s="3638"/>
      <c r="M64" s="3638"/>
      <c r="N64" s="3638"/>
      <c r="O64" s="3638"/>
      <c r="P64" s="3639"/>
      <c r="Q64" s="1154">
        <f>P65</f>
        <v>1200000</v>
      </c>
      <c r="R64" s="1154">
        <v>0</v>
      </c>
      <c r="S64" s="1155">
        <f>Q64-R64</f>
        <v>1200000</v>
      </c>
      <c r="T64" s="1288"/>
    </row>
    <row r="65" spans="1:20" s="1137" customFormat="1" ht="15" customHeight="1">
      <c r="A65" s="1166"/>
      <c r="B65" s="1139"/>
      <c r="C65" s="1346"/>
      <c r="D65" s="1139"/>
      <c r="E65" s="3285"/>
      <c r="F65" s="1347" t="s">
        <v>2019</v>
      </c>
      <c r="G65" s="1348"/>
      <c r="H65" s="1349"/>
      <c r="I65" s="1349"/>
      <c r="J65" s="1349"/>
      <c r="K65" s="1349"/>
      <c r="L65" s="1350"/>
      <c r="M65" s="1349"/>
      <c r="N65" s="1351"/>
      <c r="O65" s="1351"/>
      <c r="P65" s="1352">
        <f>SUM(P66:P66)</f>
        <v>1200000</v>
      </c>
      <c r="Q65" s="653">
        <f>P65</f>
        <v>1200000</v>
      </c>
      <c r="R65" s="1353">
        <v>0</v>
      </c>
      <c r="S65" s="654">
        <f>Q65-R65</f>
        <v>1200000</v>
      </c>
      <c r="T65" s="655"/>
    </row>
    <row r="66" spans="1:20" s="1137" customFormat="1" ht="15" customHeight="1">
      <c r="A66" s="1166"/>
      <c r="B66" s="1139"/>
      <c r="C66" s="1135"/>
      <c r="D66" s="1296"/>
      <c r="E66" s="3287"/>
      <c r="F66" s="1297" t="s">
        <v>2020</v>
      </c>
      <c r="G66" s="1298">
        <v>1200000</v>
      </c>
      <c r="H66" s="1299" t="s">
        <v>21</v>
      </c>
      <c r="I66" s="1354">
        <v>1</v>
      </c>
      <c r="J66" s="1299"/>
      <c r="K66" s="1301"/>
      <c r="L66" s="1302"/>
      <c r="M66" s="1301"/>
      <c r="N66" s="1303"/>
      <c r="O66" s="1303" t="s">
        <v>22</v>
      </c>
      <c r="P66" s="1304">
        <f>ROUNDUP(G66*I66,-3)</f>
        <v>1200000</v>
      </c>
      <c r="Q66" s="712"/>
      <c r="R66" s="712"/>
      <c r="S66" s="713"/>
      <c r="T66" s="714"/>
    </row>
    <row r="67" spans="1:20" ht="14.1" customHeight="1" thickBot="1">
      <c r="A67" s="778"/>
      <c r="B67" s="786"/>
      <c r="C67" s="3685" t="s">
        <v>203</v>
      </c>
      <c r="D67" s="3686"/>
      <c r="E67" s="3686"/>
      <c r="F67" s="3686"/>
      <c r="G67" s="3686"/>
      <c r="H67" s="3686"/>
      <c r="I67" s="3686"/>
      <c r="J67" s="3686"/>
      <c r="K67" s="3686"/>
      <c r="L67" s="3686"/>
      <c r="M67" s="3686"/>
      <c r="N67" s="3686"/>
      <c r="O67" s="3686"/>
      <c r="P67" s="3687"/>
      <c r="Q67" s="866">
        <f>Q68</f>
        <v>18500000</v>
      </c>
      <c r="R67" s="866">
        <f>R68</f>
        <v>10500000</v>
      </c>
      <c r="S67" s="924">
        <f>Q67-R67</f>
        <v>8000000</v>
      </c>
      <c r="T67" s="925">
        <f t="shared" ref="T67:T70" si="11">S67/R67</f>
        <v>0.76190476190476186</v>
      </c>
    </row>
    <row r="68" spans="1:20" ht="14.1" customHeight="1" thickBot="1">
      <c r="A68" s="778"/>
      <c r="B68" s="786"/>
      <c r="C68" s="792"/>
      <c r="D68" s="684" t="s">
        <v>258</v>
      </c>
      <c r="E68" s="2229"/>
      <c r="F68" s="1269"/>
      <c r="G68" s="636"/>
      <c r="H68" s="635"/>
      <c r="I68" s="635"/>
      <c r="J68" s="635"/>
      <c r="K68" s="635"/>
      <c r="L68" s="1268"/>
      <c r="M68" s="635"/>
      <c r="N68" s="637"/>
      <c r="O68" s="637"/>
      <c r="P68" s="635"/>
      <c r="Q68" s="638">
        <f>Q69+Q80</f>
        <v>18500000</v>
      </c>
      <c r="R68" s="638">
        <f>R69+R80</f>
        <v>10500000</v>
      </c>
      <c r="S68" s="937">
        <f>Q68-R68</f>
        <v>8000000</v>
      </c>
      <c r="T68" s="616">
        <f t="shared" si="11"/>
        <v>0.76190476190476186</v>
      </c>
    </row>
    <row r="69" spans="1:20" ht="14.1" customHeight="1">
      <c r="A69" s="778"/>
      <c r="B69" s="786"/>
      <c r="C69" s="792"/>
      <c r="D69" s="844"/>
      <c r="E69" s="3637" t="s">
        <v>3007</v>
      </c>
      <c r="F69" s="3638"/>
      <c r="G69" s="3638"/>
      <c r="H69" s="3638"/>
      <c r="I69" s="3638"/>
      <c r="J69" s="3638"/>
      <c r="K69" s="3638"/>
      <c r="L69" s="3638"/>
      <c r="M69" s="3638"/>
      <c r="N69" s="3638"/>
      <c r="O69" s="3638"/>
      <c r="P69" s="3639"/>
      <c r="Q69" s="645">
        <f>P70+P76</f>
        <v>13600000</v>
      </c>
      <c r="R69" s="645">
        <v>10500000</v>
      </c>
      <c r="S69" s="646">
        <f>Q69-R69</f>
        <v>3100000</v>
      </c>
      <c r="T69" s="647">
        <f t="shared" si="11"/>
        <v>0.29523809523809524</v>
      </c>
    </row>
    <row r="70" spans="1:20" ht="14.1" customHeight="1">
      <c r="A70" s="778"/>
      <c r="B70" s="786"/>
      <c r="C70" s="792"/>
      <c r="D70" s="786"/>
      <c r="F70" s="1270" t="s">
        <v>2021</v>
      </c>
      <c r="G70" s="1271"/>
      <c r="H70" s="1272"/>
      <c r="I70" s="1272"/>
      <c r="J70" s="1272"/>
      <c r="K70" s="1272"/>
      <c r="L70" s="1273"/>
      <c r="M70" s="1272"/>
      <c r="N70" s="1274"/>
      <c r="O70" s="1274"/>
      <c r="P70" s="1275">
        <f>SUM(P71:P75)</f>
        <v>8200000</v>
      </c>
      <c r="Q70" s="653">
        <f>P70</f>
        <v>8200000</v>
      </c>
      <c r="R70" s="653">
        <v>5900000</v>
      </c>
      <c r="S70" s="654">
        <f>Q70-R70</f>
        <v>2300000</v>
      </c>
      <c r="T70" s="655">
        <f t="shared" si="11"/>
        <v>0.38983050847457629</v>
      </c>
    </row>
    <row r="71" spans="1:20" ht="14.1" customHeight="1">
      <c r="A71" s="778"/>
      <c r="B71" s="786"/>
      <c r="C71" s="792"/>
      <c r="D71" s="786"/>
      <c r="F71" s="1277" t="s">
        <v>2022</v>
      </c>
      <c r="G71" s="1314">
        <v>80000</v>
      </c>
      <c r="H71" s="1279" t="s">
        <v>21</v>
      </c>
      <c r="I71" s="1355">
        <v>5</v>
      </c>
      <c r="J71" s="1279" t="s">
        <v>21</v>
      </c>
      <c r="K71" s="1281">
        <v>12</v>
      </c>
      <c r="L71" s="1356"/>
      <c r="M71" s="1279"/>
      <c r="N71" s="1283"/>
      <c r="O71" s="1283" t="s">
        <v>1036</v>
      </c>
      <c r="P71" s="1357">
        <f>G71*I71*K71</f>
        <v>4800000</v>
      </c>
      <c r="Q71" s="694"/>
      <c r="R71" s="694"/>
      <c r="S71" s="695"/>
      <c r="T71" s="696"/>
    </row>
    <row r="72" spans="1:20" ht="14.1" customHeight="1">
      <c r="A72" s="778"/>
      <c r="B72" s="786"/>
      <c r="C72" s="792"/>
      <c r="D72" s="786"/>
      <c r="F72" s="1277" t="s">
        <v>2023</v>
      </c>
      <c r="G72" s="1314">
        <v>30000</v>
      </c>
      <c r="H72" s="1279" t="s">
        <v>21</v>
      </c>
      <c r="I72" s="1355">
        <v>5</v>
      </c>
      <c r="J72" s="1279" t="s">
        <v>21</v>
      </c>
      <c r="K72" s="1281">
        <v>10</v>
      </c>
      <c r="L72" s="1356"/>
      <c r="M72" s="1279"/>
      <c r="N72" s="1283"/>
      <c r="O72" s="1283" t="s">
        <v>1802</v>
      </c>
      <c r="P72" s="1357">
        <f>G72*I72*K72</f>
        <v>1500000</v>
      </c>
      <c r="Q72" s="694"/>
      <c r="R72" s="694"/>
      <c r="S72" s="695"/>
      <c r="T72" s="696"/>
    </row>
    <row r="73" spans="1:20" ht="14.1" customHeight="1">
      <c r="A73" s="778"/>
      <c r="B73" s="786"/>
      <c r="C73" s="792"/>
      <c r="D73" s="786"/>
      <c r="F73" s="1277" t="s">
        <v>2024</v>
      </c>
      <c r="G73" s="1314">
        <v>30000</v>
      </c>
      <c r="H73" s="1279" t="s">
        <v>21</v>
      </c>
      <c r="I73" s="1313">
        <v>10</v>
      </c>
      <c r="J73" s="1279"/>
      <c r="K73" s="1279"/>
      <c r="L73" s="1356"/>
      <c r="M73" s="1279"/>
      <c r="N73" s="1283"/>
      <c r="O73" s="1283" t="s">
        <v>1802</v>
      </c>
      <c r="P73" s="1357">
        <f>G73*I73</f>
        <v>300000</v>
      </c>
      <c r="Q73" s="694"/>
      <c r="R73" s="694"/>
      <c r="S73" s="695"/>
      <c r="T73" s="696"/>
    </row>
    <row r="74" spans="1:20" ht="14.1" customHeight="1">
      <c r="A74" s="778"/>
      <c r="B74" s="786"/>
      <c r="C74" s="792"/>
      <c r="D74" s="786"/>
      <c r="F74" s="1277" t="s">
        <v>2025</v>
      </c>
      <c r="G74" s="1314">
        <v>50000</v>
      </c>
      <c r="H74" s="1279" t="s">
        <v>21</v>
      </c>
      <c r="I74" s="1313">
        <v>20</v>
      </c>
      <c r="J74" s="1279"/>
      <c r="K74" s="1279"/>
      <c r="L74" s="1356"/>
      <c r="M74" s="1279"/>
      <c r="N74" s="1283"/>
      <c r="O74" s="1283" t="s">
        <v>1979</v>
      </c>
      <c r="P74" s="1357">
        <f>G74*I74</f>
        <v>1000000</v>
      </c>
      <c r="Q74" s="694"/>
      <c r="R74" s="694"/>
      <c r="S74" s="695"/>
      <c r="T74" s="696"/>
    </row>
    <row r="75" spans="1:20" ht="14.1" customHeight="1">
      <c r="A75" s="778"/>
      <c r="B75" s="786"/>
      <c r="C75" s="792"/>
      <c r="D75" s="786"/>
      <c r="F75" s="1277" t="s">
        <v>2026</v>
      </c>
      <c r="G75" s="1314">
        <v>30000</v>
      </c>
      <c r="H75" s="1279" t="s">
        <v>21</v>
      </c>
      <c r="I75" s="1313">
        <v>20</v>
      </c>
      <c r="J75" s="1279"/>
      <c r="K75" s="1279"/>
      <c r="L75" s="1356"/>
      <c r="M75" s="1279"/>
      <c r="N75" s="1283"/>
      <c r="O75" s="1283" t="s">
        <v>1802</v>
      </c>
      <c r="P75" s="1357">
        <f>G75*I75</f>
        <v>600000</v>
      </c>
      <c r="Q75" s="694"/>
      <c r="R75" s="694"/>
      <c r="S75" s="695"/>
      <c r="T75" s="696"/>
    </row>
    <row r="76" spans="1:20" ht="14.1" customHeight="1">
      <c r="A76" s="1130"/>
      <c r="B76" s="846"/>
      <c r="C76" s="780"/>
      <c r="D76" s="846"/>
      <c r="E76" s="3281"/>
      <c r="F76" s="3085" t="s">
        <v>2950</v>
      </c>
      <c r="G76" s="3514"/>
      <c r="H76" s="3086"/>
      <c r="I76" s="3515"/>
      <c r="J76" s="3086"/>
      <c r="K76" s="3516"/>
      <c r="L76" s="3517"/>
      <c r="M76" s="3516"/>
      <c r="N76" s="3087"/>
      <c r="O76" s="3087"/>
      <c r="P76" s="3088">
        <f>SUM(P77:P79)</f>
        <v>5400000</v>
      </c>
      <c r="Q76" s="683">
        <f>P76</f>
        <v>5400000</v>
      </c>
      <c r="R76" s="683">
        <v>4600000</v>
      </c>
      <c r="S76" s="1489">
        <f>Q76-R76</f>
        <v>800000</v>
      </c>
      <c r="T76" s="1490">
        <f>S76/R76</f>
        <v>0.17391304347826086</v>
      </c>
    </row>
    <row r="77" spans="1:20" ht="14.1" customHeight="1">
      <c r="A77" s="778"/>
      <c r="B77" s="786"/>
      <c r="C77" s="792"/>
      <c r="D77" s="786"/>
      <c r="F77" s="3556" t="s">
        <v>2845</v>
      </c>
      <c r="G77" s="1314">
        <v>130000</v>
      </c>
      <c r="H77" s="1279" t="s">
        <v>21</v>
      </c>
      <c r="I77" s="1281">
        <v>12</v>
      </c>
      <c r="J77" s="1279"/>
      <c r="K77" s="1279"/>
      <c r="L77" s="1356"/>
      <c r="M77" s="1279"/>
      <c r="N77" s="1283"/>
      <c r="O77" s="1283" t="s">
        <v>1174</v>
      </c>
      <c r="P77" s="1357">
        <f>G77*I77</f>
        <v>1560000</v>
      </c>
      <c r="Q77" s="694"/>
      <c r="R77" s="694"/>
      <c r="S77" s="695"/>
      <c r="T77" s="696"/>
    </row>
    <row r="78" spans="1:20" ht="14.1" customHeight="1">
      <c r="A78" s="778"/>
      <c r="B78" s="786"/>
      <c r="C78" s="792"/>
      <c r="D78" s="786"/>
      <c r="F78" s="1277" t="s">
        <v>2846</v>
      </c>
      <c r="G78" s="1314">
        <v>270000</v>
      </c>
      <c r="H78" s="1279" t="s">
        <v>21</v>
      </c>
      <c r="I78" s="1281">
        <v>12</v>
      </c>
      <c r="J78" s="1279"/>
      <c r="K78" s="1279"/>
      <c r="L78" s="1356"/>
      <c r="M78" s="1279"/>
      <c r="N78" s="1283"/>
      <c r="O78" s="1362" t="s">
        <v>1802</v>
      </c>
      <c r="P78" s="1357">
        <f>G78*I78</f>
        <v>3240000</v>
      </c>
      <c r="Q78" s="694"/>
      <c r="R78" s="694"/>
      <c r="S78" s="695"/>
      <c r="T78" s="696"/>
    </row>
    <row r="79" spans="1:20" ht="14.1" customHeight="1">
      <c r="A79" s="778"/>
      <c r="B79" s="786"/>
      <c r="C79" s="792"/>
      <c r="D79" s="786"/>
      <c r="F79" s="1277" t="s">
        <v>2951</v>
      </c>
      <c r="G79" s="1314">
        <v>50000</v>
      </c>
      <c r="H79" s="1279" t="s">
        <v>21</v>
      </c>
      <c r="I79" s="1281">
        <v>12</v>
      </c>
      <c r="J79" s="1279"/>
      <c r="K79" s="1279"/>
      <c r="L79" s="1356"/>
      <c r="M79" s="1279"/>
      <c r="N79" s="1283"/>
      <c r="O79" s="1283" t="s">
        <v>1802</v>
      </c>
      <c r="P79" s="1357">
        <f>ROUNDUP(G79*I79,-3)</f>
        <v>600000</v>
      </c>
      <c r="Q79" s="694"/>
      <c r="R79" s="694"/>
      <c r="S79" s="695"/>
      <c r="T79" s="696"/>
    </row>
    <row r="80" spans="1:20" ht="14.1" customHeight="1">
      <c r="A80" s="778"/>
      <c r="B80" s="786"/>
      <c r="C80" s="792"/>
      <c r="D80" s="786"/>
      <c r="E80" s="3637" t="s">
        <v>3009</v>
      </c>
      <c r="F80" s="3638"/>
      <c r="G80" s="3638"/>
      <c r="H80" s="3638"/>
      <c r="I80" s="3638"/>
      <c r="J80" s="3638"/>
      <c r="K80" s="3638"/>
      <c r="L80" s="3638"/>
      <c r="M80" s="3638"/>
      <c r="N80" s="3638"/>
      <c r="O80" s="3638"/>
      <c r="P80" s="3639"/>
      <c r="Q80" s="645">
        <f>P81+P85+P89</f>
        <v>4900000</v>
      </c>
      <c r="R80" s="645">
        <v>0</v>
      </c>
      <c r="S80" s="646">
        <f>Q80-R80</f>
        <v>4900000</v>
      </c>
      <c r="T80" s="647"/>
    </row>
    <row r="81" spans="1:20" ht="14.1" customHeight="1">
      <c r="A81" s="778"/>
      <c r="B81" s="786"/>
      <c r="C81" s="792"/>
      <c r="D81" s="786"/>
      <c r="F81" s="1270" t="s">
        <v>2027</v>
      </c>
      <c r="G81" s="1358"/>
      <c r="H81" s="1272"/>
      <c r="I81" s="1359"/>
      <c r="J81" s="1272"/>
      <c r="K81" s="1360"/>
      <c r="L81" s="1361"/>
      <c r="M81" s="1360"/>
      <c r="N81" s="1274"/>
      <c r="O81" s="1274"/>
      <c r="P81" s="1275">
        <f>SUM(P82:P84)</f>
        <v>3000000</v>
      </c>
      <c r="Q81" s="653">
        <f>P81</f>
        <v>3000000</v>
      </c>
      <c r="R81" s="653">
        <v>0</v>
      </c>
      <c r="S81" s="654">
        <f>Q81-R81</f>
        <v>3000000</v>
      </c>
      <c r="T81" s="655"/>
    </row>
    <row r="82" spans="1:20" ht="14.1" customHeight="1">
      <c r="A82" s="778"/>
      <c r="B82" s="786"/>
      <c r="C82" s="792"/>
      <c r="D82" s="786"/>
      <c r="F82" s="1277" t="s">
        <v>2847</v>
      </c>
      <c r="G82" s="1314">
        <v>2000000</v>
      </c>
      <c r="H82" s="1279" t="s">
        <v>21</v>
      </c>
      <c r="I82" s="1363">
        <v>1</v>
      </c>
      <c r="J82" s="1279"/>
      <c r="K82" s="1279"/>
      <c r="L82" s="1356"/>
      <c r="M82" s="1279"/>
      <c r="N82" s="1283"/>
      <c r="O82" s="1283" t="s">
        <v>1802</v>
      </c>
      <c r="P82" s="1357">
        <f>G82*I82</f>
        <v>2000000</v>
      </c>
      <c r="Q82" s="694"/>
      <c r="R82" s="694"/>
      <c r="S82" s="695"/>
      <c r="T82" s="696"/>
    </row>
    <row r="83" spans="1:20" ht="14.1" customHeight="1">
      <c r="A83" s="778"/>
      <c r="B83" s="786"/>
      <c r="C83" s="792"/>
      <c r="D83" s="786"/>
      <c r="F83" s="1277" t="s">
        <v>2848</v>
      </c>
      <c r="G83" s="1314">
        <v>500000</v>
      </c>
      <c r="H83" s="1279" t="s">
        <v>21</v>
      </c>
      <c r="I83" s="1313">
        <v>1</v>
      </c>
      <c r="J83" s="1279"/>
      <c r="K83" s="1279"/>
      <c r="L83" s="1356"/>
      <c r="M83" s="1279"/>
      <c r="N83" s="1283"/>
      <c r="O83" s="1283" t="s">
        <v>1036</v>
      </c>
      <c r="P83" s="1357">
        <f>G83*I83</f>
        <v>500000</v>
      </c>
      <c r="Q83" s="694"/>
      <c r="R83" s="694"/>
      <c r="S83" s="695"/>
      <c r="T83" s="696"/>
    </row>
    <row r="84" spans="1:20" ht="14.1" customHeight="1">
      <c r="A84" s="778"/>
      <c r="B84" s="786"/>
      <c r="C84" s="792"/>
      <c r="D84" s="786"/>
      <c r="F84" s="1277" t="s">
        <v>2849</v>
      </c>
      <c r="G84" s="1314">
        <v>10000</v>
      </c>
      <c r="H84" s="1279" t="s">
        <v>21</v>
      </c>
      <c r="I84" s="1313">
        <v>50</v>
      </c>
      <c r="J84" s="1279"/>
      <c r="K84" s="1279"/>
      <c r="L84" s="1356"/>
      <c r="M84" s="1279"/>
      <c r="N84" s="1283"/>
      <c r="O84" s="1283" t="s">
        <v>1036</v>
      </c>
      <c r="P84" s="1357">
        <f>G84*I84</f>
        <v>500000</v>
      </c>
      <c r="Q84" s="694"/>
      <c r="R84" s="694"/>
      <c r="S84" s="695"/>
      <c r="T84" s="696"/>
    </row>
    <row r="85" spans="1:20" ht="14.1" customHeight="1">
      <c r="A85" s="778"/>
      <c r="B85" s="786"/>
      <c r="C85" s="792"/>
      <c r="D85" s="786"/>
      <c r="F85" s="1270" t="s">
        <v>2028</v>
      </c>
      <c r="G85" s="1271"/>
      <c r="H85" s="1272"/>
      <c r="I85" s="1366"/>
      <c r="J85" s="1272"/>
      <c r="K85" s="1360"/>
      <c r="L85" s="1361"/>
      <c r="M85" s="1360"/>
      <c r="N85" s="1274"/>
      <c r="O85" s="1274"/>
      <c r="P85" s="1275">
        <f>SUM(P86:P88)</f>
        <v>1400000</v>
      </c>
      <c r="Q85" s="653">
        <f>P85</f>
        <v>1400000</v>
      </c>
      <c r="R85" s="653">
        <v>0</v>
      </c>
      <c r="S85" s="654">
        <f>Q85-R85</f>
        <v>1400000</v>
      </c>
      <c r="T85" s="655"/>
    </row>
    <row r="86" spans="1:20" ht="14.1" customHeight="1">
      <c r="A86" s="778"/>
      <c r="B86" s="786"/>
      <c r="C86" s="792"/>
      <c r="D86" s="786"/>
      <c r="F86" s="1277" t="s">
        <v>2850</v>
      </c>
      <c r="G86" s="1314">
        <v>700000</v>
      </c>
      <c r="H86" s="1279" t="s">
        <v>21</v>
      </c>
      <c r="I86" s="1363">
        <v>1</v>
      </c>
      <c r="J86" s="1279"/>
      <c r="K86" s="1279"/>
      <c r="L86" s="1356"/>
      <c r="M86" s="1279"/>
      <c r="N86" s="1283"/>
      <c r="O86" s="1283" t="s">
        <v>1036</v>
      </c>
      <c r="P86" s="1357">
        <f>G86*I86</f>
        <v>700000</v>
      </c>
      <c r="Q86" s="694"/>
      <c r="R86" s="694"/>
      <c r="S86" s="695"/>
      <c r="T86" s="696"/>
    </row>
    <row r="87" spans="1:20" ht="14.1" customHeight="1">
      <c r="A87" s="778"/>
      <c r="B87" s="786"/>
      <c r="C87" s="792"/>
      <c r="D87" s="786"/>
      <c r="F87" s="1277" t="s">
        <v>2851</v>
      </c>
      <c r="G87" s="1314">
        <v>200000</v>
      </c>
      <c r="H87" s="1279" t="s">
        <v>21</v>
      </c>
      <c r="I87" s="1313">
        <v>1</v>
      </c>
      <c r="J87" s="1279"/>
      <c r="K87" s="1279"/>
      <c r="L87" s="1356"/>
      <c r="M87" s="1279"/>
      <c r="N87" s="1283"/>
      <c r="O87" s="1283" t="s">
        <v>1036</v>
      </c>
      <c r="P87" s="1357">
        <f>G87*I87</f>
        <v>200000</v>
      </c>
      <c r="Q87" s="694"/>
      <c r="R87" s="694"/>
      <c r="S87" s="695"/>
      <c r="T87" s="696"/>
    </row>
    <row r="88" spans="1:20" ht="14.1" customHeight="1">
      <c r="A88" s="778"/>
      <c r="B88" s="786"/>
      <c r="C88" s="792"/>
      <c r="D88" s="786"/>
      <c r="F88" s="1277" t="s">
        <v>2849</v>
      </c>
      <c r="G88" s="1314">
        <v>10000</v>
      </c>
      <c r="H88" s="1279" t="s">
        <v>21</v>
      </c>
      <c r="I88" s="1313">
        <v>50</v>
      </c>
      <c r="J88" s="1279"/>
      <c r="K88" s="1279"/>
      <c r="L88" s="1356"/>
      <c r="M88" s="1279"/>
      <c r="N88" s="1283"/>
      <c r="O88" s="1283" t="s">
        <v>1036</v>
      </c>
      <c r="P88" s="1357">
        <f>G88*I88</f>
        <v>500000</v>
      </c>
      <c r="Q88" s="694"/>
      <c r="R88" s="694"/>
      <c r="S88" s="695"/>
      <c r="T88" s="696"/>
    </row>
    <row r="89" spans="1:20" ht="14.1" customHeight="1">
      <c r="A89" s="778"/>
      <c r="B89" s="786"/>
      <c r="C89" s="792"/>
      <c r="D89" s="786"/>
      <c r="F89" s="1270" t="s">
        <v>2029</v>
      </c>
      <c r="G89" s="1271"/>
      <c r="H89" s="1272"/>
      <c r="I89" s="1366"/>
      <c r="J89" s="1272"/>
      <c r="K89" s="1360"/>
      <c r="L89" s="1361"/>
      <c r="M89" s="1360"/>
      <c r="N89" s="1274"/>
      <c r="O89" s="1274"/>
      <c r="P89" s="1275">
        <f>SUM(P90:P91)</f>
        <v>500000</v>
      </c>
      <c r="Q89" s="653">
        <f>P89</f>
        <v>500000</v>
      </c>
      <c r="R89" s="653">
        <v>0</v>
      </c>
      <c r="S89" s="654">
        <f>Q89-R89</f>
        <v>500000</v>
      </c>
      <c r="T89" s="655"/>
    </row>
    <row r="90" spans="1:20" ht="14.1" customHeight="1">
      <c r="A90" s="778"/>
      <c r="B90" s="786"/>
      <c r="C90" s="1010"/>
      <c r="D90" s="786"/>
      <c r="F90" s="1277" t="s">
        <v>2853</v>
      </c>
      <c r="G90" s="1314">
        <v>50000</v>
      </c>
      <c r="H90" s="1279" t="s">
        <v>21</v>
      </c>
      <c r="I90" s="1313">
        <v>5</v>
      </c>
      <c r="J90" s="1279"/>
      <c r="K90" s="1279"/>
      <c r="L90" s="1356"/>
      <c r="M90" s="1279"/>
      <c r="N90" s="1283"/>
      <c r="O90" s="1283" t="s">
        <v>1802</v>
      </c>
      <c r="P90" s="1357">
        <f>G90*I90</f>
        <v>250000</v>
      </c>
      <c r="Q90" s="694"/>
      <c r="R90" s="694"/>
      <c r="S90" s="695"/>
      <c r="T90" s="696"/>
    </row>
    <row r="91" spans="1:20" ht="14.1" customHeight="1">
      <c r="A91" s="778"/>
      <c r="B91" s="786"/>
      <c r="C91" s="779"/>
      <c r="D91" s="846"/>
      <c r="E91" s="3281"/>
      <c r="F91" s="1297" t="s">
        <v>2852</v>
      </c>
      <c r="G91" s="1316">
        <v>50000</v>
      </c>
      <c r="H91" s="1299" t="s">
        <v>21</v>
      </c>
      <c r="I91" s="1331">
        <v>5</v>
      </c>
      <c r="J91" s="1299"/>
      <c r="K91" s="1299"/>
      <c r="L91" s="1364"/>
      <c r="M91" s="1299"/>
      <c r="N91" s="1303"/>
      <c r="O91" s="1303" t="s">
        <v>1037</v>
      </c>
      <c r="P91" s="1365">
        <f>G91*I91</f>
        <v>250000</v>
      </c>
      <c r="Q91" s="712"/>
      <c r="R91" s="712"/>
      <c r="S91" s="713"/>
      <c r="T91" s="714"/>
    </row>
    <row r="92" spans="1:20" ht="14.1" customHeight="1" thickBot="1">
      <c r="A92" s="778"/>
      <c r="B92" s="786"/>
      <c r="C92" s="3685" t="s">
        <v>207</v>
      </c>
      <c r="D92" s="3686"/>
      <c r="E92" s="3686"/>
      <c r="F92" s="3686"/>
      <c r="G92" s="3686"/>
      <c r="H92" s="3686"/>
      <c r="I92" s="3686"/>
      <c r="J92" s="3686"/>
      <c r="K92" s="3686"/>
      <c r="L92" s="3686"/>
      <c r="M92" s="3686"/>
      <c r="N92" s="3686"/>
      <c r="O92" s="3686"/>
      <c r="P92" s="3687"/>
      <c r="Q92" s="866">
        <f>Q93+Q98</f>
        <v>2800000</v>
      </c>
      <c r="R92" s="866">
        <f>R93+R98</f>
        <v>2400000</v>
      </c>
      <c r="S92" s="924">
        <f>Q92-R92</f>
        <v>400000</v>
      </c>
      <c r="T92" s="925">
        <f t="shared" ref="T92:T94" si="12">S92/R92</f>
        <v>0.16666666666666666</v>
      </c>
    </row>
    <row r="93" spans="1:20" ht="14.1" customHeight="1" thickBot="1">
      <c r="A93" s="778"/>
      <c r="B93" s="786"/>
      <c r="C93" s="792"/>
      <c r="D93" s="684" t="s">
        <v>54</v>
      </c>
      <c r="E93" s="2229"/>
      <c r="F93" s="1269"/>
      <c r="G93" s="636"/>
      <c r="H93" s="635"/>
      <c r="I93" s="635"/>
      <c r="J93" s="635"/>
      <c r="K93" s="635"/>
      <c r="L93" s="1268"/>
      <c r="M93" s="635"/>
      <c r="N93" s="637"/>
      <c r="O93" s="637"/>
      <c r="P93" s="635"/>
      <c r="Q93" s="638">
        <f>Q94+Q95</f>
        <v>16000</v>
      </c>
      <c r="R93" s="638">
        <f>R94+R95</f>
        <v>1320000</v>
      </c>
      <c r="S93" s="937">
        <f>Q93-R93</f>
        <v>-1304000</v>
      </c>
      <c r="T93" s="616">
        <f t="shared" si="12"/>
        <v>-0.98787878787878791</v>
      </c>
    </row>
    <row r="94" spans="1:20" s="1371" customFormat="1" ht="14.1" customHeight="1">
      <c r="A94" s="1367"/>
      <c r="B94" s="1368"/>
      <c r="C94" s="1369"/>
      <c r="D94" s="1370"/>
      <c r="E94" s="3637" t="s">
        <v>55</v>
      </c>
      <c r="F94" s="3638"/>
      <c r="G94" s="3638"/>
      <c r="H94" s="3638"/>
      <c r="I94" s="3638"/>
      <c r="J94" s="3638"/>
      <c r="K94" s="3638"/>
      <c r="L94" s="3638"/>
      <c r="M94" s="3638"/>
      <c r="N94" s="3638"/>
      <c r="O94" s="3638"/>
      <c r="P94" s="3639"/>
      <c r="Q94" s="645">
        <v>0</v>
      </c>
      <c r="R94" s="645">
        <v>1320000</v>
      </c>
      <c r="S94" s="646">
        <f>Q94-R94</f>
        <v>-1320000</v>
      </c>
      <c r="T94" s="647">
        <f t="shared" si="12"/>
        <v>-1</v>
      </c>
    </row>
    <row r="95" spans="1:20" s="1137" customFormat="1" ht="15" customHeight="1">
      <c r="A95" s="1166"/>
      <c r="B95" s="1139"/>
      <c r="C95" s="1168"/>
      <c r="D95" s="1139"/>
      <c r="E95" s="3637" t="s">
        <v>3167</v>
      </c>
      <c r="F95" s="3638"/>
      <c r="G95" s="3638"/>
      <c r="H95" s="3638"/>
      <c r="I95" s="3638"/>
      <c r="J95" s="3638"/>
      <c r="K95" s="3638"/>
      <c r="L95" s="3638"/>
      <c r="M95" s="3638"/>
      <c r="N95" s="3638"/>
      <c r="O95" s="3638"/>
      <c r="P95" s="3639"/>
      <c r="Q95" s="1154">
        <f>P96</f>
        <v>16000</v>
      </c>
      <c r="R95" s="1154">
        <v>0</v>
      </c>
      <c r="S95" s="1155">
        <f>Q95-R95</f>
        <v>16000</v>
      </c>
      <c r="T95" s="1288"/>
    </row>
    <row r="96" spans="1:20" s="1137" customFormat="1" ht="15" customHeight="1">
      <c r="A96" s="1166"/>
      <c r="B96" s="1139"/>
      <c r="C96" s="1168"/>
      <c r="D96" s="1139"/>
      <c r="E96" s="3285"/>
      <c r="F96" s="1347" t="s">
        <v>471</v>
      </c>
      <c r="G96" s="1348"/>
      <c r="H96" s="1349"/>
      <c r="I96" s="1349"/>
      <c r="J96" s="1349"/>
      <c r="K96" s="1349"/>
      <c r="L96" s="1350"/>
      <c r="M96" s="1349"/>
      <c r="N96" s="1351"/>
      <c r="O96" s="1351"/>
      <c r="P96" s="1352">
        <f>SUM(P97:P97)</f>
        <v>16000</v>
      </c>
      <c r="Q96" s="653">
        <f>P96</f>
        <v>16000</v>
      </c>
      <c r="R96" s="1353">
        <v>0</v>
      </c>
      <c r="S96" s="654">
        <f>Q96-R96</f>
        <v>16000</v>
      </c>
      <c r="T96" s="655"/>
    </row>
    <row r="97" spans="1:21" s="1137" customFormat="1" ht="15" customHeight="1">
      <c r="A97" s="1166"/>
      <c r="B97" s="1139"/>
      <c r="C97" s="1168"/>
      <c r="D97" s="1139"/>
      <c r="E97" s="3286"/>
      <c r="F97" s="1277" t="s">
        <v>1536</v>
      </c>
      <c r="G97" s="1294">
        <v>4000</v>
      </c>
      <c r="H97" s="1279" t="s">
        <v>21</v>
      </c>
      <c r="I97" s="1313">
        <v>4</v>
      </c>
      <c r="J97" s="1279"/>
      <c r="K97" s="1281"/>
      <c r="L97" s="1282"/>
      <c r="M97" s="1281"/>
      <c r="N97" s="1283"/>
      <c r="O97" s="1283" t="s">
        <v>22</v>
      </c>
      <c r="P97" s="1284">
        <f>ROUNDUP(G97*I97,-3)</f>
        <v>16000</v>
      </c>
      <c r="Q97" s="694"/>
      <c r="R97" s="694"/>
      <c r="S97" s="695"/>
      <c r="T97" s="696"/>
    </row>
    <row r="98" spans="1:21" s="1137" customFormat="1" ht="15" customHeight="1">
      <c r="A98" s="1166"/>
      <c r="B98" s="1139"/>
      <c r="C98" s="1168"/>
      <c r="D98" s="1372" t="s">
        <v>2864</v>
      </c>
      <c r="E98" s="3296"/>
      <c r="F98" s="1373"/>
      <c r="G98" s="1146"/>
      <c r="H98" s="1145"/>
      <c r="I98" s="1145"/>
      <c r="J98" s="1145"/>
      <c r="K98" s="1145"/>
      <c r="L98" s="1374"/>
      <c r="M98" s="1145"/>
      <c r="N98" s="1147"/>
      <c r="O98" s="1147"/>
      <c r="P98" s="1375"/>
      <c r="Q98" s="1148">
        <f>Q99</f>
        <v>2784000</v>
      </c>
      <c r="R98" s="1148">
        <f>R99</f>
        <v>1080000</v>
      </c>
      <c r="S98" s="1149">
        <f>Q98-R98</f>
        <v>1704000</v>
      </c>
      <c r="T98" s="1376">
        <f>S98/R98</f>
        <v>1.5777777777777777</v>
      </c>
    </row>
    <row r="99" spans="1:21" ht="14.45" customHeight="1">
      <c r="A99" s="778"/>
      <c r="B99" s="786"/>
      <c r="C99" s="1010"/>
      <c r="D99" s="786"/>
      <c r="E99" s="3637" t="s">
        <v>2862</v>
      </c>
      <c r="F99" s="3638"/>
      <c r="G99" s="3638"/>
      <c r="H99" s="3638"/>
      <c r="I99" s="3638"/>
      <c r="J99" s="3638"/>
      <c r="K99" s="3638"/>
      <c r="L99" s="3638"/>
      <c r="M99" s="3638"/>
      <c r="N99" s="3638"/>
      <c r="O99" s="3638"/>
      <c r="P99" s="3639"/>
      <c r="Q99" s="645">
        <f>P100</f>
        <v>2784000</v>
      </c>
      <c r="R99" s="645">
        <v>1080000</v>
      </c>
      <c r="S99" s="646">
        <f>Q99-R99</f>
        <v>1704000</v>
      </c>
      <c r="T99" s="647">
        <f t="shared" ref="T99:T100" si="13">S99/R99</f>
        <v>1.5777777777777777</v>
      </c>
    </row>
    <row r="100" spans="1:21" ht="14.45" customHeight="1">
      <c r="A100" s="778"/>
      <c r="B100" s="786"/>
      <c r="C100" s="1010"/>
      <c r="D100" s="786"/>
      <c r="F100" s="1377" t="s">
        <v>2030</v>
      </c>
      <c r="G100" s="1036"/>
      <c r="H100" s="1035"/>
      <c r="I100" s="1035"/>
      <c r="J100" s="1035"/>
      <c r="K100" s="1035"/>
      <c r="L100" s="1378"/>
      <c r="M100" s="1035"/>
      <c r="N100" s="1037"/>
      <c r="O100" s="1037"/>
      <c r="P100" s="1134">
        <f>SUM(P101:P102)</f>
        <v>2784000</v>
      </c>
      <c r="Q100" s="653">
        <f>P100</f>
        <v>2784000</v>
      </c>
      <c r="R100" s="1039">
        <v>1080000</v>
      </c>
      <c r="S100" s="654">
        <f>Q100-R100</f>
        <v>1704000</v>
      </c>
      <c r="T100" s="655">
        <f t="shared" si="13"/>
        <v>1.5777777777777777</v>
      </c>
    </row>
    <row r="101" spans="1:21" ht="14.45" customHeight="1">
      <c r="A101" s="778"/>
      <c r="B101" s="786"/>
      <c r="C101" s="1010"/>
      <c r="D101" s="786"/>
      <c r="F101" s="1379" t="s">
        <v>2855</v>
      </c>
      <c r="G101" s="1294">
        <v>100000</v>
      </c>
      <c r="H101" s="1279" t="s">
        <v>21</v>
      </c>
      <c r="I101" s="1281">
        <v>12</v>
      </c>
      <c r="J101" s="1380"/>
      <c r="K101" s="1380"/>
      <c r="L101" s="1381"/>
      <c r="M101" s="1380"/>
      <c r="N101" s="1382"/>
      <c r="O101" s="1382" t="s">
        <v>22</v>
      </c>
      <c r="P101" s="1380">
        <f>ROUNDUP(G101*I101,-3)</f>
        <v>1200000</v>
      </c>
      <c r="Q101" s="858"/>
      <c r="R101" s="858"/>
      <c r="S101" s="859"/>
      <c r="T101" s="1383"/>
    </row>
    <row r="102" spans="1:21" ht="14.45" customHeight="1">
      <c r="A102" s="778"/>
      <c r="B102" s="786"/>
      <c r="C102" s="779"/>
      <c r="D102" s="846"/>
      <c r="E102" s="3281"/>
      <c r="F102" s="1384" t="s">
        <v>2854</v>
      </c>
      <c r="G102" s="1298">
        <v>132000</v>
      </c>
      <c r="H102" s="1299" t="s">
        <v>21</v>
      </c>
      <c r="I102" s="1301">
        <v>12</v>
      </c>
      <c r="J102" s="1385"/>
      <c r="K102" s="1385"/>
      <c r="L102" s="1386"/>
      <c r="M102" s="1385"/>
      <c r="N102" s="1387"/>
      <c r="O102" s="1387" t="s">
        <v>22</v>
      </c>
      <c r="P102" s="1385">
        <f>ROUNDUP(G102*I102,-3)</f>
        <v>1584000</v>
      </c>
      <c r="Q102" s="866"/>
      <c r="R102" s="866"/>
      <c r="S102" s="924"/>
      <c r="T102" s="1388"/>
    </row>
    <row r="103" spans="1:21" ht="14.1" customHeight="1" thickBot="1">
      <c r="A103" s="778"/>
      <c r="B103" s="786"/>
      <c r="C103" s="3685" t="s">
        <v>259</v>
      </c>
      <c r="D103" s="3686"/>
      <c r="E103" s="3686"/>
      <c r="F103" s="3686"/>
      <c r="G103" s="3686"/>
      <c r="H103" s="3686"/>
      <c r="I103" s="3686"/>
      <c r="J103" s="3686"/>
      <c r="K103" s="3686"/>
      <c r="L103" s="3686"/>
      <c r="M103" s="3686"/>
      <c r="N103" s="3686"/>
      <c r="O103" s="3686"/>
      <c r="P103" s="3687"/>
      <c r="Q103" s="866">
        <f>Q104</f>
        <v>10000</v>
      </c>
      <c r="R103" s="866">
        <f>R104</f>
        <v>10000</v>
      </c>
      <c r="S103" s="924">
        <f>Q103-R103</f>
        <v>0</v>
      </c>
      <c r="T103" s="925">
        <f t="shared" ref="T103:T106" si="14">S103/R103</f>
        <v>0</v>
      </c>
    </row>
    <row r="104" spans="1:21" ht="14.1" customHeight="1" thickBot="1">
      <c r="A104" s="778"/>
      <c r="B104" s="786"/>
      <c r="C104" s="844"/>
      <c r="D104" s="635" t="s">
        <v>223</v>
      </c>
      <c r="E104" s="2229"/>
      <c r="F104" s="1269"/>
      <c r="G104" s="636"/>
      <c r="H104" s="635"/>
      <c r="I104" s="635"/>
      <c r="J104" s="635"/>
      <c r="K104" s="635"/>
      <c r="L104" s="1268"/>
      <c r="M104" s="635"/>
      <c r="N104" s="637"/>
      <c r="O104" s="637"/>
      <c r="P104" s="635"/>
      <c r="Q104" s="638">
        <f>Q105</f>
        <v>10000</v>
      </c>
      <c r="R104" s="638">
        <f>R105</f>
        <v>10000</v>
      </c>
      <c r="S104" s="937">
        <f>Q104-R104</f>
        <v>0</v>
      </c>
      <c r="T104" s="616">
        <f t="shared" si="14"/>
        <v>0</v>
      </c>
    </row>
    <row r="105" spans="1:21" ht="14.1" customHeight="1">
      <c r="A105" s="778"/>
      <c r="B105" s="786"/>
      <c r="C105" s="786"/>
      <c r="D105" s="844"/>
      <c r="E105" s="3637" t="s">
        <v>2863</v>
      </c>
      <c r="F105" s="3638"/>
      <c r="G105" s="3638"/>
      <c r="H105" s="3638"/>
      <c r="I105" s="3638"/>
      <c r="J105" s="3638"/>
      <c r="K105" s="3638"/>
      <c r="L105" s="3638"/>
      <c r="M105" s="3638"/>
      <c r="N105" s="3638"/>
      <c r="O105" s="3638"/>
      <c r="P105" s="3639"/>
      <c r="Q105" s="645">
        <f>ROUNDUP(P106,-3)</f>
        <v>10000</v>
      </c>
      <c r="R105" s="645">
        <v>10000</v>
      </c>
      <c r="S105" s="646">
        <f>Q105-R105</f>
        <v>0</v>
      </c>
      <c r="T105" s="647">
        <f t="shared" si="14"/>
        <v>0</v>
      </c>
    </row>
    <row r="106" spans="1:21" ht="14.1" customHeight="1">
      <c r="A106" s="778"/>
      <c r="B106" s="786"/>
      <c r="C106" s="786"/>
      <c r="D106" s="786"/>
      <c r="E106" s="844"/>
      <c r="F106" s="1389" t="s">
        <v>224</v>
      </c>
      <c r="G106" s="1390"/>
      <c r="H106" s="1389"/>
      <c r="I106" s="1389"/>
      <c r="J106" s="1389"/>
      <c r="K106" s="1389"/>
      <c r="L106" s="1389"/>
      <c r="M106" s="1389"/>
      <c r="N106" s="1391"/>
      <c r="O106" s="1392"/>
      <c r="P106" s="1392">
        <f>P107</f>
        <v>10000</v>
      </c>
      <c r="Q106" s="653">
        <f>P106</f>
        <v>10000</v>
      </c>
      <c r="R106" s="1393">
        <v>10000</v>
      </c>
      <c r="S106" s="654">
        <f>Q106-R106</f>
        <v>0</v>
      </c>
      <c r="T106" s="655">
        <f t="shared" si="14"/>
        <v>0</v>
      </c>
    </row>
    <row r="107" spans="1:21" ht="14.1" customHeight="1" thickBot="1">
      <c r="A107" s="898"/>
      <c r="B107" s="899"/>
      <c r="C107" s="899"/>
      <c r="D107" s="899"/>
      <c r="E107" s="3298"/>
      <c r="F107" s="768" t="s">
        <v>225</v>
      </c>
      <c r="G107" s="1394">
        <v>10000</v>
      </c>
      <c r="H107" s="1395" t="s">
        <v>51</v>
      </c>
      <c r="I107" s="1103">
        <v>1</v>
      </c>
      <c r="J107" s="1395"/>
      <c r="K107" s="1396"/>
      <c r="L107" s="1395"/>
      <c r="M107" s="1395"/>
      <c r="N107" s="1397"/>
      <c r="O107" s="1397" t="s">
        <v>122</v>
      </c>
      <c r="P107" s="1398">
        <f>G107*I107</f>
        <v>10000</v>
      </c>
      <c r="Q107" s="1399"/>
      <c r="R107" s="1399"/>
      <c r="S107" s="1400"/>
      <c r="T107" s="1401"/>
    </row>
    <row r="109" spans="1:21">
      <c r="P109" s="841"/>
      <c r="Q109" s="128"/>
      <c r="R109" s="842"/>
      <c r="T109" s="1402"/>
      <c r="U109" s="1403"/>
    </row>
    <row r="110" spans="1:21">
      <c r="P110" s="841"/>
      <c r="Q110" s="128"/>
      <c r="R110" s="842"/>
      <c r="T110" s="1402"/>
      <c r="U110" s="1403"/>
    </row>
    <row r="111" spans="1:21">
      <c r="P111" s="841"/>
      <c r="Q111" s="128"/>
      <c r="R111" s="842"/>
      <c r="T111" s="1402"/>
      <c r="U111" s="1403"/>
    </row>
    <row r="112" spans="1:21">
      <c r="K112" s="128" t="s">
        <v>2981</v>
      </c>
      <c r="P112" s="841"/>
      <c r="Q112" s="128"/>
      <c r="R112" s="842"/>
      <c r="T112" s="1402"/>
      <c r="U112" s="1403"/>
    </row>
    <row r="113" spans="16:21">
      <c r="P113" s="841"/>
      <c r="Q113" s="128"/>
      <c r="R113" s="842"/>
      <c r="T113" s="1402"/>
      <c r="U113" s="1403"/>
    </row>
    <row r="114" spans="16:21">
      <c r="P114" s="841"/>
      <c r="Q114" s="128"/>
      <c r="R114" s="842"/>
      <c r="T114" s="1402"/>
      <c r="U114" s="1403"/>
    </row>
    <row r="115" spans="16:21">
      <c r="P115" s="841"/>
      <c r="Q115" s="128"/>
      <c r="R115" s="842"/>
      <c r="T115" s="1402"/>
      <c r="U115" s="1403"/>
    </row>
    <row r="116" spans="16:21">
      <c r="P116" s="841"/>
      <c r="Q116" s="128"/>
      <c r="R116" s="842"/>
      <c r="T116" s="1402"/>
      <c r="U116" s="1403"/>
    </row>
    <row r="117" spans="16:21">
      <c r="P117" s="841"/>
      <c r="Q117" s="128"/>
      <c r="R117" s="842"/>
      <c r="T117" s="1402"/>
      <c r="U117" s="1403"/>
    </row>
    <row r="118" spans="16:21">
      <c r="P118" s="841"/>
      <c r="Q118" s="128"/>
      <c r="R118" s="842"/>
      <c r="T118" s="1402"/>
      <c r="U118" s="1403"/>
    </row>
    <row r="119" spans="16:21">
      <c r="P119" s="841"/>
      <c r="Q119" s="128"/>
      <c r="R119" s="842"/>
      <c r="T119" s="1402"/>
      <c r="U119" s="1403"/>
    </row>
  </sheetData>
  <mergeCells count="33">
    <mergeCell ref="C7:P7"/>
    <mergeCell ref="A1:T1"/>
    <mergeCell ref="S2:T2"/>
    <mergeCell ref="A3:E3"/>
    <mergeCell ref="G3:P4"/>
    <mergeCell ref="Q3:Q4"/>
    <mergeCell ref="R3:R4"/>
    <mergeCell ref="S3:S4"/>
    <mergeCell ref="T3:T4"/>
    <mergeCell ref="E36:P36"/>
    <mergeCell ref="E39:P39"/>
    <mergeCell ref="E45:P45"/>
    <mergeCell ref="E9:P9"/>
    <mergeCell ref="E14:P14"/>
    <mergeCell ref="E19:P19"/>
    <mergeCell ref="E23:P23"/>
    <mergeCell ref="E30:P30"/>
    <mergeCell ref="E94:P94"/>
    <mergeCell ref="E95:P95"/>
    <mergeCell ref="E99:P99"/>
    <mergeCell ref="E105:P105"/>
    <mergeCell ref="E33:P33"/>
    <mergeCell ref="E49:P49"/>
    <mergeCell ref="E53:P53"/>
    <mergeCell ref="K35:L35"/>
    <mergeCell ref="C67:P67"/>
    <mergeCell ref="C92:P92"/>
    <mergeCell ref="C103:P103"/>
    <mergeCell ref="E56:P56"/>
    <mergeCell ref="E60:P60"/>
    <mergeCell ref="E64:P64"/>
    <mergeCell ref="E69:P69"/>
    <mergeCell ref="E80:P8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landscape" r:id="rId1"/>
  <headerFooter scaleWithDoc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37</vt:i4>
      </vt:variant>
      <vt:variant>
        <vt:lpstr>이름 지정된 범위</vt:lpstr>
      </vt:variant>
      <vt:variant>
        <vt:i4>65</vt:i4>
      </vt:variant>
    </vt:vector>
  </HeadingPairs>
  <TitlesOfParts>
    <vt:vector size="102" baseType="lpstr">
      <vt:lpstr>표지</vt:lpstr>
      <vt:lpstr>목차</vt:lpstr>
      <vt:lpstr>간지1(예산총칙)</vt:lpstr>
      <vt:lpstr>예산총칙</vt:lpstr>
      <vt:lpstr>간지2(세입세출예산안)</vt:lpstr>
      <vt:lpstr>세입예산규모1</vt:lpstr>
      <vt:lpstr>시설별예산총괄표2</vt:lpstr>
      <vt:lpstr>세입예산총괄표3</vt:lpstr>
      <vt:lpstr>세출예산총괄표4</vt:lpstr>
      <vt:lpstr>세입세출요약총괄표5</vt:lpstr>
      <vt:lpstr>세입세출세부총괄표6</vt:lpstr>
      <vt:lpstr>간지3(세입예산 사업내역서)</vt:lpstr>
      <vt:lpstr>예산세입(사무국)</vt:lpstr>
      <vt:lpstr>예산세입(마두)</vt:lpstr>
      <vt:lpstr>예산세입(진로)</vt:lpstr>
      <vt:lpstr>예산세입(성사)</vt:lpstr>
      <vt:lpstr>예산세입(탄현)</vt:lpstr>
      <vt:lpstr>예산세입(주교)</vt:lpstr>
      <vt:lpstr>예산세입(일산서구)</vt:lpstr>
      <vt:lpstr>예산세입(토당)</vt:lpstr>
      <vt:lpstr>예산세입(상담)</vt:lpstr>
      <vt:lpstr>예산세입(화정)</vt:lpstr>
      <vt:lpstr>예산세입(백마)</vt:lpstr>
      <vt:lpstr>예산세입(능곡)</vt:lpstr>
      <vt:lpstr>간지4(세출예산 사업내역서)</vt:lpstr>
      <vt:lpstr>예산세출(사무국)</vt:lpstr>
      <vt:lpstr>예산세출(마두)</vt:lpstr>
      <vt:lpstr>예산세출(진로)</vt:lpstr>
      <vt:lpstr>예산세출(성사)</vt:lpstr>
      <vt:lpstr>예산세출(탄현)</vt:lpstr>
      <vt:lpstr>예산세출(주교)</vt:lpstr>
      <vt:lpstr>예산세출(일산서구)</vt:lpstr>
      <vt:lpstr>예산세출(토당)</vt:lpstr>
      <vt:lpstr>예산세출(상담)</vt:lpstr>
      <vt:lpstr>예산세출(화정)</vt:lpstr>
      <vt:lpstr>예산세출(백마)</vt:lpstr>
      <vt:lpstr>예산세출(능곡)</vt:lpstr>
      <vt:lpstr>'간지1(예산총칙)'!Print_Area</vt:lpstr>
      <vt:lpstr>'간지2(세입세출예산안)'!Print_Area</vt:lpstr>
      <vt:lpstr>'간지3(세입예산 사업내역서)'!Print_Area</vt:lpstr>
      <vt:lpstr>'간지4(세출예산 사업내역서)'!Print_Area</vt:lpstr>
      <vt:lpstr>목차!Print_Area</vt:lpstr>
      <vt:lpstr>세입세출세부총괄표6!Print_Area</vt:lpstr>
      <vt:lpstr>세입세출요약총괄표5!Print_Area</vt:lpstr>
      <vt:lpstr>세입예산규모1!Print_Area</vt:lpstr>
      <vt:lpstr>세입예산총괄표3!Print_Area</vt:lpstr>
      <vt:lpstr>세출예산총괄표4!Print_Area</vt:lpstr>
      <vt:lpstr>시설별예산총괄표2!Print_Area</vt:lpstr>
      <vt:lpstr>'예산세입(능곡)'!Print_Area</vt:lpstr>
      <vt:lpstr>'예산세입(마두)'!Print_Area</vt:lpstr>
      <vt:lpstr>'예산세입(백마)'!Print_Area</vt:lpstr>
      <vt:lpstr>'예산세입(사무국)'!Print_Area</vt:lpstr>
      <vt:lpstr>'예산세입(상담)'!Print_Area</vt:lpstr>
      <vt:lpstr>'예산세입(성사)'!Print_Area</vt:lpstr>
      <vt:lpstr>'예산세입(일산서구)'!Print_Area</vt:lpstr>
      <vt:lpstr>'예산세입(주교)'!Print_Area</vt:lpstr>
      <vt:lpstr>'예산세입(진로)'!Print_Area</vt:lpstr>
      <vt:lpstr>'예산세입(탄현)'!Print_Area</vt:lpstr>
      <vt:lpstr>'예산세입(토당)'!Print_Area</vt:lpstr>
      <vt:lpstr>'예산세입(화정)'!Print_Area</vt:lpstr>
      <vt:lpstr>'예산세출(능곡)'!Print_Area</vt:lpstr>
      <vt:lpstr>'예산세출(마두)'!Print_Area</vt:lpstr>
      <vt:lpstr>'예산세출(백마)'!Print_Area</vt:lpstr>
      <vt:lpstr>'예산세출(사무국)'!Print_Area</vt:lpstr>
      <vt:lpstr>'예산세출(상담)'!Print_Area</vt:lpstr>
      <vt:lpstr>'예산세출(성사)'!Print_Area</vt:lpstr>
      <vt:lpstr>'예산세출(일산서구)'!Print_Area</vt:lpstr>
      <vt:lpstr>'예산세출(주교)'!Print_Area</vt:lpstr>
      <vt:lpstr>'예산세출(진로)'!Print_Area</vt:lpstr>
      <vt:lpstr>'예산세출(탄현)'!Print_Area</vt:lpstr>
      <vt:lpstr>'예산세출(토당)'!Print_Area</vt:lpstr>
      <vt:lpstr>'예산세출(화정)'!Print_Area</vt:lpstr>
      <vt:lpstr>예산총칙!Print_Area</vt:lpstr>
      <vt:lpstr>표지!Print_Area</vt:lpstr>
      <vt:lpstr>세입세출세부총괄표6!Print_Titles</vt:lpstr>
      <vt:lpstr>세입세출요약총괄표5!Print_Titles</vt:lpstr>
      <vt:lpstr>세입예산총괄표3!Print_Titles</vt:lpstr>
      <vt:lpstr>세출예산총괄표4!Print_Titles</vt:lpstr>
      <vt:lpstr>시설별예산총괄표2!Print_Titles</vt:lpstr>
      <vt:lpstr>'예산세입(능곡)'!Print_Titles</vt:lpstr>
      <vt:lpstr>'예산세입(마두)'!Print_Titles</vt:lpstr>
      <vt:lpstr>'예산세입(백마)'!Print_Titles</vt:lpstr>
      <vt:lpstr>'예산세입(사무국)'!Print_Titles</vt:lpstr>
      <vt:lpstr>'예산세입(상담)'!Print_Titles</vt:lpstr>
      <vt:lpstr>'예산세입(성사)'!Print_Titles</vt:lpstr>
      <vt:lpstr>'예산세입(일산서구)'!Print_Titles</vt:lpstr>
      <vt:lpstr>'예산세입(주교)'!Print_Titles</vt:lpstr>
      <vt:lpstr>'예산세입(진로)'!Print_Titles</vt:lpstr>
      <vt:lpstr>'예산세입(탄현)'!Print_Titles</vt:lpstr>
      <vt:lpstr>'예산세입(토당)'!Print_Titles</vt:lpstr>
      <vt:lpstr>'예산세출(능곡)'!Print_Titles</vt:lpstr>
      <vt:lpstr>'예산세출(마두)'!Print_Titles</vt:lpstr>
      <vt:lpstr>'예산세출(백마)'!Print_Titles</vt:lpstr>
      <vt:lpstr>'예산세출(사무국)'!Print_Titles</vt:lpstr>
      <vt:lpstr>'예산세출(상담)'!Print_Titles</vt:lpstr>
      <vt:lpstr>'예산세출(성사)'!Print_Titles</vt:lpstr>
      <vt:lpstr>'예산세출(일산서구)'!Print_Titles</vt:lpstr>
      <vt:lpstr>'예산세출(주교)'!Print_Titles</vt:lpstr>
      <vt:lpstr>'예산세출(진로)'!Print_Titles</vt:lpstr>
      <vt:lpstr>'예산세출(탄현)'!Print_Titles</vt:lpstr>
      <vt:lpstr>'예산세출(토당)'!Print_Titles</vt:lpstr>
      <vt:lpstr>'예산세출(화정)'!Print_Titles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임선영</cp:lastModifiedBy>
  <cp:lastPrinted>2018-11-29T02:42:48Z</cp:lastPrinted>
  <dcterms:created xsi:type="dcterms:W3CDTF">2018-04-01T17:03:48Z</dcterms:created>
  <dcterms:modified xsi:type="dcterms:W3CDTF">2021-03-22T12:19:52Z</dcterms:modified>
</cp:coreProperties>
</file>